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VERA\Desktop\CONTROL Y SEGUIMIENTO 2017\LEY DE TRANSPARENCIA 2017\ADJUNTOS\"/>
    </mc:Choice>
  </mc:AlternateContent>
  <bookViews>
    <workbookView xWindow="0" yWindow="0" windowWidth="20490" windowHeight="7530" firstSheet="1" activeTab="1"/>
  </bookViews>
  <sheets>
    <sheet name="CODIGO" sheetId="14" state="hidden" r:id="rId1"/>
    <sheet name="POA 2017 " sheetId="34" r:id="rId2"/>
    <sheet name="1A" sheetId="23" state="hidden" r:id="rId3"/>
    <sheet name="1B" sheetId="24" state="hidden" r:id="rId4"/>
    <sheet name="1C" sheetId="26" state="hidden" r:id="rId5"/>
    <sheet name="1D" sheetId="28" state="hidden" r:id="rId6"/>
    <sheet name="1E" sheetId="29" state="hidden" r:id="rId7"/>
    <sheet name="2A" sheetId="35" state="hidden" r:id="rId8"/>
    <sheet name="2B" sheetId="31" state="hidden" r:id="rId9"/>
    <sheet name="2C" sheetId="32" state="hidden" r:id="rId10"/>
    <sheet name="2D" sheetId="33" state="hidden" r:id="rId11"/>
    <sheet name="DATOS 1" sheetId="22" state="hidden" r:id="rId12"/>
    <sheet name="DATOS 2" sheetId="21" state="hidden" r:id="rId13"/>
    <sheet name="TECNICO" sheetId="36" r:id="rId14"/>
  </sheets>
  <externalReferences>
    <externalReference r:id="rId15"/>
  </externalReferences>
  <definedNames>
    <definedName name="_xlnm._FilterDatabase" localSheetId="2" hidden="1">'1A'!$A$5:$G$12</definedName>
    <definedName name="_xlnm._FilterDatabase" localSheetId="3" hidden="1">'1B'!$A$5:$H$12</definedName>
    <definedName name="_xlnm._FilterDatabase" localSheetId="4" hidden="1">'1C'!$A$5:$G$12</definedName>
    <definedName name="_xlnm._FilterDatabase" localSheetId="5" hidden="1">'1D'!$A$5:$H$12</definedName>
    <definedName name="_xlnm._FilterDatabase" localSheetId="6" hidden="1">'1E'!$A$5:$G$12</definedName>
    <definedName name="_xlnm._FilterDatabase" localSheetId="7" hidden="1">'2A'!$A$6:$C$13</definedName>
    <definedName name="_xlnm._FilterDatabase" localSheetId="8" hidden="1">'2B'!$A$6:$C$13</definedName>
    <definedName name="_xlnm._FilterDatabase" localSheetId="9" hidden="1">'2C'!$A$6:$C$13</definedName>
    <definedName name="_xlnm._FilterDatabase" localSheetId="10" hidden="1">'2D'!$A$6:$C$13</definedName>
    <definedName name="_xlnm._FilterDatabase" localSheetId="1" hidden="1">'POA 2017 '!$A$21:$AT$110</definedName>
    <definedName name="AMBIENTAL">'DATOS 1'!$F$3:$F$7</definedName>
    <definedName name="_xlnm.Print_Area" localSheetId="1">'POA 2017 '!$A$14:$AR$110</definedName>
    <definedName name="ECONOMICO">'DATOS 1'!$F$14:$F$18</definedName>
    <definedName name="INSTITUCIONAL">'DATOS 1'!$F$19:$F$21</definedName>
    <definedName name="SOCIAL">'DATOS 1'!$F$8:$F$13</definedName>
    <definedName name="TERRITORIAL">'DATOS 1'!$F$22</definedName>
  </definedNames>
  <calcPr calcId="162913"/>
</workbook>
</file>

<file path=xl/calcChain.xml><?xml version="1.0" encoding="utf-8"?>
<calcChain xmlns="http://schemas.openxmlformats.org/spreadsheetml/2006/main">
  <c r="AO22" i="34" l="1"/>
  <c r="AE37" i="34" l="1"/>
  <c r="AE38" i="34"/>
  <c r="AP38" i="34"/>
  <c r="AE44" i="34"/>
  <c r="AF44" i="34"/>
  <c r="AG44" i="34"/>
  <c r="AG36" i="34" s="1"/>
  <c r="AH44" i="34"/>
  <c r="AI44" i="34"/>
  <c r="AJ44" i="34"/>
  <c r="AK44" i="34"/>
  <c r="AK36" i="34" s="1"/>
  <c r="AL44" i="34"/>
  <c r="AM44" i="34"/>
  <c r="AN44" i="34"/>
  <c r="AO44" i="34"/>
  <c r="AP44" i="34"/>
  <c r="AF45" i="34"/>
  <c r="AG45" i="34"/>
  <c r="AH45" i="34"/>
  <c r="AI45" i="34"/>
  <c r="AJ45" i="34"/>
  <c r="AK45" i="34"/>
  <c r="AL45" i="34"/>
  <c r="AM45" i="34"/>
  <c r="AN45" i="34"/>
  <c r="AO45" i="34"/>
  <c r="AP45" i="34"/>
  <c r="AE54" i="34"/>
  <c r="AF54" i="34"/>
  <c r="AG54" i="34"/>
  <c r="AH54" i="34"/>
  <c r="AI54" i="34"/>
  <c r="AJ54" i="34"/>
  <c r="AK54" i="34"/>
  <c r="AL54" i="34"/>
  <c r="AM54" i="34"/>
  <c r="AN54" i="34"/>
  <c r="AO54" i="34"/>
  <c r="AP54" i="34"/>
  <c r="AK62" i="34"/>
  <c r="AM62" i="34" s="1"/>
  <c r="AN62" i="34"/>
  <c r="AO62" i="34"/>
  <c r="AE66" i="34"/>
  <c r="AF66" i="34"/>
  <c r="AG66" i="34"/>
  <c r="AH66" i="34"/>
  <c r="AI66" i="34"/>
  <c r="AJ66" i="34"/>
  <c r="AK66" i="34"/>
  <c r="AL66" i="34"/>
  <c r="AM66" i="34"/>
  <c r="AN66" i="34"/>
  <c r="AO66" i="34"/>
  <c r="AP66" i="34"/>
  <c r="AE77" i="34"/>
  <c r="AE85" i="34"/>
  <c r="AF95" i="34"/>
  <c r="AG95" i="34"/>
  <c r="AH95" i="34"/>
  <c r="AI95" i="34"/>
  <c r="AJ95" i="34"/>
  <c r="AK95" i="34"/>
  <c r="AO97" i="34"/>
  <c r="AK99" i="34"/>
  <c r="AM99" i="34"/>
  <c r="AJ36" i="34" l="1"/>
  <c r="AF36" i="34"/>
  <c r="AE36" i="34"/>
  <c r="AO36" i="34"/>
  <c r="AM36" i="34"/>
  <c r="AI36" i="34"/>
  <c r="AH36" i="34"/>
  <c r="AP36" i="34"/>
  <c r="J33" i="36"/>
  <c r="J37" i="36" s="1"/>
  <c r="K13" i="36"/>
  <c r="K11" i="36" s="1"/>
  <c r="K14" i="36"/>
  <c r="J6" i="36"/>
  <c r="K7" i="36"/>
  <c r="I6" i="36"/>
  <c r="F6" i="36"/>
  <c r="D4" i="36"/>
  <c r="J11" i="36"/>
  <c r="I11" i="36"/>
  <c r="F12" i="36"/>
  <c r="D10" i="36"/>
  <c r="D12" i="36"/>
  <c r="E12" i="36" s="1"/>
  <c r="G20" i="36"/>
  <c r="J20" i="36" s="1"/>
  <c r="G19" i="36"/>
  <c r="G17" i="36"/>
  <c r="J17" i="36" s="1"/>
  <c r="E4" i="36"/>
  <c r="F4" i="36"/>
  <c r="G10" i="36"/>
  <c r="G4" i="36"/>
  <c r="K21" i="36"/>
  <c r="F22" i="36"/>
  <c r="D19" i="36"/>
  <c r="F20" i="36"/>
  <c r="F19" i="36"/>
  <c r="F18" i="36"/>
  <c r="J10" i="36"/>
  <c r="J9" i="36" s="1"/>
  <c r="J19" i="36" l="1"/>
  <c r="H4" i="36" l="1"/>
  <c r="L22" i="36" l="1"/>
  <c r="D20" i="36"/>
  <c r="D13" i="36"/>
  <c r="E13" i="36"/>
  <c r="D52" i="36" l="1"/>
  <c r="E52" i="36"/>
  <c r="G56" i="36" l="1"/>
  <c r="G58" i="36" s="1"/>
  <c r="G47" i="36"/>
  <c r="G51" i="36" s="1"/>
  <c r="H56" i="36"/>
  <c r="H58" i="36" s="1"/>
  <c r="H49" i="36"/>
  <c r="H53" i="36" s="1"/>
  <c r="H52" i="36"/>
  <c r="H51" i="36"/>
  <c r="H54" i="36" l="1"/>
  <c r="J18" i="36"/>
  <c r="K6" i="36"/>
  <c r="K18" i="36" l="1"/>
  <c r="J15" i="36"/>
  <c r="J25" i="36" s="1"/>
  <c r="D21" i="36"/>
  <c r="F10" i="36" l="1"/>
  <c r="F13" i="36"/>
  <c r="G13" i="36" s="1"/>
  <c r="F17" i="36"/>
  <c r="D17" i="36"/>
  <c r="D16" i="36" s="1"/>
  <c r="D15" i="36" s="1"/>
  <c r="C18" i="36"/>
  <c r="E18" i="36" s="1"/>
  <c r="C17" i="36"/>
  <c r="D11" i="36"/>
  <c r="C11" i="36"/>
  <c r="F15" i="36" l="1"/>
  <c r="F16" i="36"/>
  <c r="G18" i="36"/>
  <c r="H18" i="36" s="1"/>
  <c r="I18" i="36" s="1"/>
  <c r="F11" i="36"/>
  <c r="E24" i="36" l="1"/>
  <c r="E20" i="36"/>
  <c r="H20" i="36" s="1"/>
  <c r="I20" i="36" s="1"/>
  <c r="E21" i="36"/>
  <c r="E22" i="36"/>
  <c r="H22" i="36" s="1"/>
  <c r="I22" i="36" s="1"/>
  <c r="E14" i="36"/>
  <c r="G14" i="36" s="1"/>
  <c r="G12" i="36"/>
  <c r="E10" i="36"/>
  <c r="E8" i="36"/>
  <c r="E7" i="36"/>
  <c r="H7" i="36" s="1"/>
  <c r="H6" i="36" s="1"/>
  <c r="D6" i="36"/>
  <c r="D9" i="36"/>
  <c r="F9" i="36"/>
  <c r="G9" i="36"/>
  <c r="D23" i="36"/>
  <c r="F23" i="36"/>
  <c r="C23" i="36"/>
  <c r="C19" i="36"/>
  <c r="C16" i="36" s="1"/>
  <c r="C15" i="36" s="1"/>
  <c r="C9" i="36"/>
  <c r="C6" i="36"/>
  <c r="Z44" i="34"/>
  <c r="Z105" i="34"/>
  <c r="Z104" i="34"/>
  <c r="Z101" i="34"/>
  <c r="Z100" i="34"/>
  <c r="Z99" i="34"/>
  <c r="Z98" i="34"/>
  <c r="Z97" i="34"/>
  <c r="Z95" i="34"/>
  <c r="Z93" i="34"/>
  <c r="Z92" i="34"/>
  <c r="Z91" i="34"/>
  <c r="Z85" i="34"/>
  <c r="Z83" i="34"/>
  <c r="Z77" i="34"/>
  <c r="Z66" i="34"/>
  <c r="Z62" i="34"/>
  <c r="Z59" i="34"/>
  <c r="AL59" i="34" s="1"/>
  <c r="Z54" i="34"/>
  <c r="Z45" i="34"/>
  <c r="Y33" i="34"/>
  <c r="Z33" i="34" s="1"/>
  <c r="Y27" i="34"/>
  <c r="Z27" i="34" s="1"/>
  <c r="Y32" i="34"/>
  <c r="Z32" i="34" s="1"/>
  <c r="Z31" i="34"/>
  <c r="Z29" i="34"/>
  <c r="Z30" i="34"/>
  <c r="Y28" i="34"/>
  <c r="Z28" i="34" s="1"/>
  <c r="Z26" i="34"/>
  <c r="Z25" i="34"/>
  <c r="Z24" i="34"/>
  <c r="Z23" i="34"/>
  <c r="Y22" i="34"/>
  <c r="Z22" i="34" s="1"/>
  <c r="G21" i="36" l="1"/>
  <c r="G15" i="36" s="1"/>
  <c r="H21" i="36"/>
  <c r="AN59" i="34"/>
  <c r="AN36" i="34" s="1"/>
  <c r="AL36" i="34"/>
  <c r="Z36" i="34" s="1"/>
  <c r="Z35" i="34" s="1"/>
  <c r="E19" i="36"/>
  <c r="H19" i="36" s="1"/>
  <c r="I19" i="36" s="1"/>
  <c r="J32" i="36"/>
  <c r="K20" i="36"/>
  <c r="J34" i="36"/>
  <c r="K22" i="36"/>
  <c r="H12" i="36"/>
  <c r="H11" i="36" s="1"/>
  <c r="E16" i="36"/>
  <c r="G16" i="36"/>
  <c r="E9" i="36"/>
  <c r="H10" i="36"/>
  <c r="G11" i="36"/>
  <c r="E6" i="36"/>
  <c r="E23" i="36"/>
  <c r="G24" i="36"/>
  <c r="E11" i="36"/>
  <c r="F25" i="36"/>
  <c r="E17" i="36"/>
  <c r="C5" i="36"/>
  <c r="Z34" i="34"/>
  <c r="AQ105" i="34"/>
  <c r="AQ101" i="34"/>
  <c r="AQ100" i="34"/>
  <c r="AQ98" i="34"/>
  <c r="AQ95" i="34"/>
  <c r="AR95" i="34" s="1"/>
  <c r="AQ93" i="34"/>
  <c r="AR93" i="34" s="1"/>
  <c r="AQ92" i="34"/>
  <c r="AQ91" i="34"/>
  <c r="AQ83" i="34"/>
  <c r="AR83" i="34" s="1"/>
  <c r="AQ62" i="34"/>
  <c r="AR62" i="34" s="1"/>
  <c r="AE34" i="34"/>
  <c r="AE35" i="34" s="1"/>
  <c r="AF34" i="34"/>
  <c r="AF35" i="34" s="1"/>
  <c r="AH34" i="34"/>
  <c r="AH35" i="34" s="1"/>
  <c r="AQ32" i="34"/>
  <c r="V34" i="34"/>
  <c r="I10" i="36" l="1"/>
  <c r="H9" i="36"/>
  <c r="E15" i="36"/>
  <c r="H15" i="36" s="1"/>
  <c r="H17" i="36"/>
  <c r="I17" i="36" s="1"/>
  <c r="K19" i="36"/>
  <c r="J31" i="36"/>
  <c r="AR101" i="34"/>
  <c r="AR32" i="34"/>
  <c r="AH111" i="34"/>
  <c r="AF111" i="34"/>
  <c r="AE111" i="34"/>
  <c r="H24" i="36"/>
  <c r="G23" i="36"/>
  <c r="AQ85" i="34"/>
  <c r="AR85" i="34" s="1"/>
  <c r="AQ77" i="34"/>
  <c r="U38" i="34"/>
  <c r="V99" i="34"/>
  <c r="AQ99" i="34" s="1"/>
  <c r="AR99" i="34" s="1"/>
  <c r="V91" i="34"/>
  <c r="AR91" i="34" s="1"/>
  <c r="V66" i="34"/>
  <c r="V105" i="34"/>
  <c r="AR105" i="34" s="1"/>
  <c r="V100" i="34"/>
  <c r="AR100" i="34" s="1"/>
  <c r="V98" i="34"/>
  <c r="AR98" i="34" s="1"/>
  <c r="V92" i="34"/>
  <c r="AR92" i="34" s="1"/>
  <c r="V45" i="34"/>
  <c r="V59" i="34"/>
  <c r="V54" i="34"/>
  <c r="U37" i="34"/>
  <c r="H23" i="36" l="1"/>
  <c r="I23" i="36" s="1"/>
  <c r="K23" i="36" s="1"/>
  <c r="K24" i="36"/>
  <c r="I24" i="36"/>
  <c r="J35" i="36" s="1"/>
  <c r="I9" i="36"/>
  <c r="J29" i="36"/>
  <c r="K10" i="36"/>
  <c r="K9" i="36" s="1"/>
  <c r="J30" i="36"/>
  <c r="K17" i="36"/>
  <c r="K15" i="36" s="1"/>
  <c r="I15" i="36"/>
  <c r="E25" i="36"/>
  <c r="AG34" i="34"/>
  <c r="AQ33" i="34"/>
  <c r="AR33" i="34" s="1"/>
  <c r="V37" i="34"/>
  <c r="Z37" i="34"/>
  <c r="G25" i="36"/>
  <c r="V38" i="34"/>
  <c r="Z38" i="34"/>
  <c r="V77" i="34"/>
  <c r="AR77" i="34" s="1"/>
  <c r="AS77" i="34"/>
  <c r="U107" i="34"/>
  <c r="U34" i="34"/>
  <c r="AG35" i="34" l="1"/>
  <c r="AG111" i="34" s="1"/>
  <c r="K25" i="36"/>
  <c r="I25" i="36"/>
  <c r="J26" i="36" s="1"/>
  <c r="J36" i="36"/>
  <c r="J38" i="36" s="1"/>
  <c r="H16" i="36"/>
  <c r="H25" i="36" s="1"/>
  <c r="Z107" i="34"/>
  <c r="Z108" i="34" s="1"/>
  <c r="U108" i="34"/>
  <c r="V109" i="34" s="1"/>
  <c r="AP34" i="34" l="1"/>
  <c r="AP35" i="34" s="1"/>
  <c r="AK34" i="34"/>
  <c r="AK35" i="34" s="1"/>
  <c r="AM34" i="34"/>
  <c r="AM35" i="34" s="1"/>
  <c r="AN34" i="34"/>
  <c r="AN35" i="34" s="1"/>
  <c r="AO34" i="34"/>
  <c r="AO35" i="34" s="1"/>
  <c r="AI34" i="34"/>
  <c r="AI35" i="34" s="1"/>
  <c r="AI111" i="34" l="1"/>
  <c r="AO111" i="34"/>
  <c r="AM111" i="34"/>
  <c r="AK111" i="34"/>
  <c r="AN111" i="34"/>
  <c r="AP111" i="34"/>
  <c r="W34" i="34"/>
  <c r="X34" i="34"/>
  <c r="AA34" i="34"/>
  <c r="AB34" i="34"/>
  <c r="AD34" i="34"/>
  <c r="AQ25" i="34"/>
  <c r="AQ24" i="34"/>
  <c r="AQ29" i="34"/>
  <c r="AR29" i="34" s="1"/>
  <c r="AQ30" i="34"/>
  <c r="AR30" i="34" s="1"/>
  <c r="AQ31" i="34"/>
  <c r="AR31" i="34" s="1"/>
  <c r="AJ34" i="34"/>
  <c r="AJ35" i="34" s="1"/>
  <c r="AJ111" i="34" l="1"/>
  <c r="AQ106" i="34"/>
  <c r="AQ104" i="34"/>
  <c r="AQ103" i="34"/>
  <c r="AQ102" i="34"/>
  <c r="AQ96" i="34"/>
  <c r="AQ90" i="34"/>
  <c r="AQ89" i="34"/>
  <c r="AQ88" i="34"/>
  <c r="AQ87" i="34"/>
  <c r="AQ86" i="34"/>
  <c r="AQ84" i="34"/>
  <c r="AQ82" i="34"/>
  <c r="AQ81" i="34"/>
  <c r="AQ80" i="34"/>
  <c r="AQ79" i="34"/>
  <c r="AQ78" i="34"/>
  <c r="AQ76" i="34"/>
  <c r="AQ75" i="34"/>
  <c r="AQ74" i="34"/>
  <c r="AQ73" i="34"/>
  <c r="AQ72" i="34"/>
  <c r="AQ71" i="34"/>
  <c r="AQ70" i="34"/>
  <c r="AQ69" i="34"/>
  <c r="AQ68" i="34"/>
  <c r="AQ67" i="34"/>
  <c r="AQ66" i="34"/>
  <c r="AR66" i="34" s="1"/>
  <c r="AQ65" i="34"/>
  <c r="AQ64" i="34"/>
  <c r="AQ63" i="34"/>
  <c r="AQ61" i="34"/>
  <c r="AQ60" i="34"/>
  <c r="AQ58" i="34"/>
  <c r="AQ57" i="34"/>
  <c r="AQ56" i="34"/>
  <c r="AQ55" i="34"/>
  <c r="AQ54" i="34"/>
  <c r="AQ53" i="34"/>
  <c r="AQ52" i="34"/>
  <c r="AQ51" i="34"/>
  <c r="AQ50" i="34"/>
  <c r="AQ49" i="34"/>
  <c r="AQ48" i="34"/>
  <c r="AQ47" i="34"/>
  <c r="AQ46" i="34"/>
  <c r="AQ45" i="34"/>
  <c r="AQ44" i="34"/>
  <c r="AQ43" i="34"/>
  <c r="AQ42" i="34"/>
  <c r="AQ41" i="34"/>
  <c r="AQ40" i="34"/>
  <c r="AQ39" i="34"/>
  <c r="AQ38" i="34"/>
  <c r="AQ22" i="34"/>
  <c r="AM1" i="34" s="1"/>
  <c r="AS22" i="34" l="1"/>
  <c r="AR22" i="34"/>
  <c r="AR54" i="34"/>
  <c r="AR45" i="34"/>
  <c r="AR38" i="34"/>
  <c r="AQ59" i="34"/>
  <c r="AR59" i="34" s="1"/>
  <c r="AQ37" i="34"/>
  <c r="AR37" i="34" l="1"/>
  <c r="AQ23" i="34"/>
  <c r="K93" i="35" l="1"/>
  <c r="C93" i="35"/>
  <c r="K92" i="35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L79" i="35"/>
  <c r="C79" i="35"/>
  <c r="L78" i="35"/>
  <c r="C78" i="35"/>
  <c r="L77" i="35"/>
  <c r="C77" i="35"/>
  <c r="L76" i="35"/>
  <c r="C76" i="35"/>
  <c r="L75" i="35"/>
  <c r="C75" i="35"/>
  <c r="L74" i="35"/>
  <c r="C74" i="35"/>
  <c r="L73" i="35"/>
  <c r="C73" i="35"/>
  <c r="L72" i="35"/>
  <c r="C72" i="35"/>
  <c r="L71" i="35"/>
  <c r="C71" i="35"/>
  <c r="L70" i="35"/>
  <c r="C70" i="35"/>
  <c r="L69" i="35"/>
  <c r="C69" i="35"/>
  <c r="L68" i="35"/>
  <c r="C68" i="35"/>
  <c r="L67" i="35"/>
  <c r="C67" i="35"/>
  <c r="L66" i="35"/>
  <c r="C66" i="35"/>
  <c r="L65" i="35"/>
  <c r="C65" i="35"/>
  <c r="L64" i="35"/>
  <c r="C64" i="35"/>
  <c r="L63" i="35"/>
  <c r="C63" i="35"/>
  <c r="L62" i="35"/>
  <c r="C62" i="35"/>
  <c r="L61" i="35"/>
  <c r="C61" i="35"/>
  <c r="L60" i="35"/>
  <c r="C60" i="35"/>
  <c r="L59" i="35"/>
  <c r="C59" i="35"/>
  <c r="L58" i="35"/>
  <c r="C58" i="35"/>
  <c r="L57" i="35"/>
  <c r="C57" i="35"/>
  <c r="L56" i="35"/>
  <c r="C56" i="35"/>
  <c r="L55" i="35"/>
  <c r="C55" i="35"/>
  <c r="L54" i="35"/>
  <c r="C54" i="35"/>
  <c r="L53" i="35"/>
  <c r="C53" i="35"/>
  <c r="L52" i="35"/>
  <c r="C52" i="35"/>
  <c r="L51" i="35"/>
  <c r="C51" i="35"/>
  <c r="L50" i="35"/>
  <c r="C50" i="35"/>
  <c r="L49" i="35"/>
  <c r="C49" i="35"/>
  <c r="L48" i="35"/>
  <c r="C48" i="35"/>
  <c r="L47" i="35"/>
  <c r="C47" i="35"/>
  <c r="L46" i="35"/>
  <c r="C46" i="35"/>
  <c r="L45" i="35"/>
  <c r="C45" i="35"/>
  <c r="L44" i="35"/>
  <c r="C44" i="35"/>
  <c r="L43" i="35"/>
  <c r="C43" i="35"/>
  <c r="L42" i="35"/>
  <c r="C42" i="35"/>
  <c r="L41" i="35"/>
  <c r="C41" i="35"/>
  <c r="L40" i="35"/>
  <c r="C40" i="35"/>
  <c r="L39" i="35"/>
  <c r="C39" i="35"/>
  <c r="L38" i="35"/>
  <c r="C38" i="35"/>
  <c r="L37" i="35"/>
  <c r="C37" i="35"/>
  <c r="L36" i="35"/>
  <c r="C36" i="35"/>
  <c r="L35" i="35"/>
  <c r="C35" i="35"/>
  <c r="L34" i="35"/>
  <c r="C34" i="35"/>
  <c r="L33" i="35"/>
  <c r="C33" i="35"/>
  <c r="L32" i="35"/>
  <c r="C32" i="35"/>
  <c r="L31" i="35"/>
  <c r="C31" i="35"/>
  <c r="L30" i="35"/>
  <c r="C30" i="35"/>
  <c r="L29" i="35"/>
  <c r="C29" i="35"/>
  <c r="L28" i="35"/>
  <c r="C28" i="35"/>
  <c r="L27" i="35"/>
  <c r="C27" i="35"/>
  <c r="L26" i="35"/>
  <c r="C26" i="35"/>
  <c r="L25" i="35"/>
  <c r="C25" i="35"/>
  <c r="L24" i="35"/>
  <c r="C24" i="35"/>
  <c r="L23" i="35"/>
  <c r="C23" i="35"/>
  <c r="L22" i="35"/>
  <c r="C22" i="35"/>
  <c r="L21" i="35"/>
  <c r="C21" i="35"/>
  <c r="L20" i="35"/>
  <c r="C20" i="35"/>
  <c r="L19" i="35"/>
  <c r="C19" i="35"/>
  <c r="L18" i="35"/>
  <c r="C18" i="35"/>
  <c r="L17" i="35"/>
  <c r="C17" i="35"/>
  <c r="L16" i="35"/>
  <c r="C16" i="35"/>
  <c r="L15" i="35"/>
  <c r="C15" i="35"/>
  <c r="L14" i="35"/>
  <c r="C14" i="35"/>
  <c r="L13" i="35"/>
  <c r="C13" i="35"/>
  <c r="L12" i="35"/>
  <c r="C12" i="35"/>
  <c r="L11" i="35"/>
  <c r="C11" i="35"/>
  <c r="L10" i="35"/>
  <c r="C10" i="35"/>
  <c r="L9" i="35"/>
  <c r="C9" i="35"/>
  <c r="L8" i="35"/>
  <c r="C8" i="35"/>
  <c r="L7" i="35"/>
  <c r="C7" i="35"/>
  <c r="AR106" i="34" l="1"/>
  <c r="AR103" i="34"/>
  <c r="AR102" i="34"/>
  <c r="AR90" i="34"/>
  <c r="AR89" i="34"/>
  <c r="AR88" i="34"/>
  <c r="AR87" i="34"/>
  <c r="AR86" i="34"/>
  <c r="AR84" i="34"/>
  <c r="AR82" i="34"/>
  <c r="AR81" i="34"/>
  <c r="AR80" i="34"/>
  <c r="AR79" i="34"/>
  <c r="AR78" i="34"/>
  <c r="AR76" i="34"/>
  <c r="AR75" i="34"/>
  <c r="AR74" i="34"/>
  <c r="AR73" i="34"/>
  <c r="AR72" i="34"/>
  <c r="AR71" i="34"/>
  <c r="AR70" i="34"/>
  <c r="AR69" i="34"/>
  <c r="AR65" i="34"/>
  <c r="AR64" i="34"/>
  <c r="AR63" i="34"/>
  <c r="AR61" i="34"/>
  <c r="AR60" i="34"/>
  <c r="AR58" i="34"/>
  <c r="AR57" i="34"/>
  <c r="AR56" i="34"/>
  <c r="AR55" i="34"/>
  <c r="AR44" i="34"/>
  <c r="AR43" i="34"/>
  <c r="AR42" i="34"/>
  <c r="AR41" i="34"/>
  <c r="AR40" i="34"/>
  <c r="AR39" i="34"/>
  <c r="AR24" i="34"/>
  <c r="AR23" i="34"/>
  <c r="AR25" i="34" l="1"/>
  <c r="O15" i="31" l="1"/>
  <c r="L16" i="32"/>
  <c r="L15" i="32"/>
  <c r="L13" i="32"/>
  <c r="K12" i="32"/>
  <c r="L12" i="32" s="1"/>
  <c r="L11" i="32"/>
  <c r="L14" i="32"/>
  <c r="L10" i="32"/>
  <c r="L9" i="32"/>
  <c r="L8" i="32" l="1"/>
  <c r="C14" i="32"/>
  <c r="C15" i="32"/>
  <c r="C16" i="32"/>
  <c r="L7" i="32"/>
  <c r="N16" i="31"/>
  <c r="O16" i="31" s="1"/>
  <c r="N13" i="31"/>
  <c r="N12" i="31"/>
  <c r="N11" i="31"/>
  <c r="C11" i="31"/>
  <c r="C12" i="31"/>
  <c r="C13" i="31"/>
  <c r="C14" i="31"/>
  <c r="C15" i="31"/>
  <c r="C16" i="31"/>
  <c r="N10" i="31"/>
  <c r="N9" i="31"/>
  <c r="N8" i="31"/>
  <c r="O8" i="31" s="1"/>
  <c r="N7" i="31"/>
  <c r="X15" i="26" l="1"/>
  <c r="C13" i="33" l="1"/>
  <c r="C12" i="33"/>
  <c r="C11" i="33"/>
  <c r="C10" i="33"/>
  <c r="C9" i="33"/>
  <c r="C8" i="33"/>
  <c r="C7" i="33"/>
  <c r="C13" i="32"/>
  <c r="C12" i="32"/>
  <c r="C11" i="32"/>
  <c r="C10" i="32"/>
  <c r="C9" i="32"/>
  <c r="C8" i="32"/>
  <c r="C7" i="32"/>
  <c r="C10" i="31"/>
  <c r="C9" i="31"/>
  <c r="C8" i="31"/>
  <c r="C7" i="31"/>
  <c r="AQ28" i="34"/>
  <c r="AR28" i="34" l="1"/>
  <c r="AQ97" i="34" l="1"/>
  <c r="AQ26" i="34"/>
  <c r="AR97" i="34" l="1"/>
  <c r="AQ36" i="34"/>
  <c r="AR26" i="34"/>
  <c r="AQ27" i="34" l="1"/>
  <c r="AL34" i="34"/>
  <c r="AL35" i="34" s="1"/>
  <c r="AR27" i="34" l="1"/>
  <c r="AQ34" i="34"/>
  <c r="AL111" i="34"/>
</calcChain>
</file>

<file path=xl/comments1.xml><?xml version="1.0" encoding="utf-8"?>
<comments xmlns="http://schemas.openxmlformats.org/spreadsheetml/2006/main">
  <authors>
    <author>USUARIO</author>
    <author>Nancy Magaly Garcia Intriago</author>
  </authors>
  <commentList>
    <comment ref="I24" authorId="0" shapeId="0">
      <text>
        <r>
          <rPr>
            <b/>
            <sz val="9"/>
            <color indexed="81"/>
            <rFont val="Tahoma"/>
            <family val="2"/>
          </rPr>
          <t>% de Ejecución de proyectos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Nivel de Satisfacción de Usuarios</t>
        </r>
      </text>
    </comment>
    <comment ref="Y26" authorId="1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Reforma POA Y PAC MAYO/2017
</t>
        </r>
      </text>
    </comment>
    <comment ref="AG26" authorId="1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Este valor es el saldo del Arrastre de la 15 de abril.
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% de Ejecución de proyectos</t>
        </r>
      </text>
    </comment>
    <comment ref="AK27" authorId="1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Estacionamiento Tarifado</t>
        </r>
      </text>
    </comment>
    <comment ref="AM27" authorId="1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Inventario Vial</t>
        </r>
      </text>
    </comment>
    <comment ref="Y28" authorId="1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REFORMA PARA SEÑALIZAC.HORIZONTAL Y DISPOSITIVOS SEGURIDAD MAYO/17
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% de Ejecución de proyectos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% de Ejecución de proyectos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% de Ejecución de proyectos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% de Ejecución de proyectos</t>
        </r>
      </text>
    </comment>
    <comment ref="AD59" authorId="1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Gastos para cubrir servicios tecnicos, Evaluacion; asesoria estudios; diseño y serv. Tecnicos especializados necesarios para la gestion publica
</t>
        </r>
      </text>
    </comment>
    <comment ref="I60" authorId="0" shapeId="0">
      <text>
        <r>
          <rPr>
            <b/>
            <sz val="9"/>
            <color indexed="81"/>
            <rFont val="Tahoma"/>
            <family val="2"/>
          </rPr>
          <t>Nivel de Satisfacción de Usuarios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Funcionalidad de herramientas tecnológicas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Funcionalidad de herramientas tecnológicas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>Funcionalidad de herramientas tecnológicas</t>
        </r>
      </text>
    </comment>
    <comment ref="I65" authorId="0" shapeId="0">
      <text>
        <r>
          <rPr>
            <b/>
            <sz val="9"/>
            <color indexed="81"/>
            <rFont val="Tahoma"/>
            <family val="2"/>
          </rPr>
          <t>Funcionalidad de herramientas tecnológicas</t>
        </r>
      </text>
    </comment>
    <comment ref="I81" authorId="0" shapeId="0">
      <text>
        <r>
          <rPr>
            <b/>
            <sz val="9"/>
            <color indexed="81"/>
            <rFont val="Tahoma"/>
            <family val="2"/>
          </rPr>
          <t>Funcionalidad de herramientas tecnológicas</t>
        </r>
      </text>
    </comment>
    <comment ref="I99" authorId="0" shapeId="0">
      <text>
        <r>
          <rPr>
            <b/>
            <sz val="9"/>
            <color indexed="81"/>
            <rFont val="Tahoma"/>
            <family val="2"/>
          </rPr>
          <t>Funcionalidad de herramientas tecnológicas</t>
        </r>
      </text>
    </comment>
    <comment ref="U100" authorId="1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Expropiaciones</t>
        </r>
      </text>
    </comment>
    <comment ref="U101" authorId="1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Construccion Edificio
</t>
        </r>
      </text>
    </comment>
    <comment ref="U104" authorId="1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Cuentas por pagar pendientes año 2015, IESS Y SRI</t>
        </r>
      </text>
    </comment>
  </commentList>
</comments>
</file>

<file path=xl/comments2.xml><?xml version="1.0" encoding="utf-8"?>
<comments xmlns="http://schemas.openxmlformats.org/spreadsheetml/2006/main">
  <authors>
    <author>Nancy Magaly Garcia Intriago</author>
  </authors>
  <commentList>
    <comment ref="J78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Gastos de alquiler de vehiculos terrestres como automovilies, camiones, motocicletas, vehiculos militares, ambulancias, remolques,etc
</t>
        </r>
      </text>
    </comment>
    <comment ref="K80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Hasta abril/2016 $4486,52 y a partir Mayo $3360 mensuales
</t>
        </r>
      </text>
    </comment>
    <comment ref="J88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Gastos por contrataci`n de servcios especializados praa la capacitaciòn  adiestramiento exclusivamente para s.pù
blicos.
</t>
        </r>
      </text>
    </comment>
    <comment ref="J93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Todo lo relacionado a Internet, conexión de datos, frecuencia de radios, etc telefonia convencional y celular
</t>
        </r>
      </text>
    </comment>
  </commentList>
</comments>
</file>

<file path=xl/comments3.xml><?xml version="1.0" encoding="utf-8"?>
<comments xmlns="http://schemas.openxmlformats.org/spreadsheetml/2006/main">
  <authors>
    <author>Nancy Magaly Garcia Intriago</author>
  </authors>
  <commentList>
    <comment ref="N15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Logistica inauguracion, arcos, vallas, antifases, etc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Publicidad Programas Educacon Vial y Peatonal
</t>
        </r>
      </text>
    </comment>
  </commentList>
</comments>
</file>

<file path=xl/comments4.xml><?xml version="1.0" encoding="utf-8"?>
<comments xmlns="http://schemas.openxmlformats.org/spreadsheetml/2006/main">
  <authors>
    <author>Nancy Magaly Garcia Intriago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Logistica inauguracion, arcos, vallas, antifases, etc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Publicidad Programas Educacon Vial y Peatonal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Instalaciones Semaforizaciòn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contrato mantenimiento desierto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Arrastre 2016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Estudios Inventario vial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Inventario Vial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Dispositivos de Seguridad, cableado soterrado semaforizacion $100000;Reductores de velocidad mezcla asfaltica $10.000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Señalizacion Horizonta $150.000,00; Mezcla asfaltica Red. Velocidad $10.000.00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Nancy Magaly Garcia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Proyecto señalizacion vertical; Arrastre 2016 60.000,00 nuevo contrato 40.000,00 y mantenimiento 50.000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Proceso Señaletica vertical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Se dio Partida para la Adq. De Señaletica vertical por $1,635,00
MANT. SEÑ VERTICAL
$4.145.00
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PROCELEC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PROCELEC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Nancy Magaly Garcia Intriago:</t>
        </r>
        <r>
          <rPr>
            <sz val="9"/>
            <color indexed="81"/>
            <rFont val="Tahoma"/>
            <family val="2"/>
          </rPr>
          <t xml:space="preserve">
Proyecto de 
Central semaforica
</t>
        </r>
      </text>
    </comment>
  </commentList>
</comments>
</file>

<file path=xl/sharedStrings.xml><?xml version="1.0" encoding="utf-8"?>
<sst xmlns="http://schemas.openxmlformats.org/spreadsheetml/2006/main" count="2762" uniqueCount="708">
  <si>
    <t>#</t>
  </si>
  <si>
    <t>RESPONSABLE</t>
  </si>
  <si>
    <t>NOMBRE DEL PROYECTO</t>
  </si>
  <si>
    <t>OBJETIVO GENERAL DEL PROYECTO</t>
  </si>
  <si>
    <t>INDICADOR DE IMPACTO</t>
  </si>
  <si>
    <t>TIPO DE CONTRATACIÓN</t>
  </si>
  <si>
    <t>ACTIVIDAD</t>
  </si>
  <si>
    <t>COMPONENTE PLAN DE DESARROLLO</t>
  </si>
  <si>
    <t>DIRECCIÓN GENERAL</t>
  </si>
  <si>
    <t>DIRECCIÓN OPERATIVA</t>
  </si>
  <si>
    <t>MARCO DE PLANIFICACIÓN</t>
  </si>
  <si>
    <t>LOCALIZACIÓN</t>
  </si>
  <si>
    <t>PARROQUIA</t>
  </si>
  <si>
    <t>BARRIO</t>
  </si>
  <si>
    <t xml:space="preserve">BENEFICIARIOS </t>
  </si>
  <si>
    <t>BENEFICIARIOS DIRECTOS</t>
  </si>
  <si>
    <t>BENEFICIARIOS INDIRECTOS</t>
  </si>
  <si>
    <t>DURACIÓN</t>
  </si>
  <si>
    <t>AÑO DE INICIO</t>
  </si>
  <si>
    <t>AÑO DE FIN</t>
  </si>
  <si>
    <t>TIPO (anual/plurianual)</t>
  </si>
  <si>
    <t>RECURSOS PROPIOS</t>
  </si>
  <si>
    <t>RECURSOS REEMBOLSABLES</t>
  </si>
  <si>
    <t>RECURSOS NO REEMBOLSABLES</t>
  </si>
  <si>
    <t>MONTO TOTAL DEL PROYECTO</t>
  </si>
  <si>
    <t>FINANCIAMIENTO DEL PROYECTO PARA AÑO 2017</t>
  </si>
  <si>
    <t>PLAN ANUAL DE CONTRATACIÓN</t>
  </si>
  <si>
    <t>PRESUPUESTO</t>
  </si>
  <si>
    <t>TIPO 
(nuevo/arrastre año n)</t>
  </si>
  <si>
    <t>CODIGO</t>
  </si>
  <si>
    <t>DESCRIPCIÓN</t>
  </si>
  <si>
    <t>CRONOGRAMA VALORADO DE EJECUCIÓN PRESUPUESTARIA 2017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</si>
  <si>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</si>
  <si>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</si>
  <si>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</si>
  <si>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</si>
  <si>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</si>
  <si>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</si>
  <si>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</si>
  <si>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</si>
  <si>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</si>
  <si>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</si>
  <si>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</si>
  <si>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</si>
  <si>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ORIGEN DEL RECURSO</t>
  </si>
  <si>
    <t>MONTO DEL PROYECTO 2017</t>
  </si>
  <si>
    <t>COMPROBACIÓN</t>
  </si>
  <si>
    <t>META AÑO 2017</t>
  </si>
  <si>
    <t>ANEXO DE PROYECTOS 1B
MICROPLANIFICACIÓN</t>
  </si>
  <si>
    <t>OBJETIVO ESPECIFICO DEL PLAN DE DESARROLLO</t>
  </si>
  <si>
    <t>PLANIFICACIÓN DE GASTOS FINANCIEROS 2017</t>
  </si>
  <si>
    <t>2D</t>
  </si>
  <si>
    <t>PLANIFICACIÓN DE GASTOS DE CAPITAL 2017</t>
  </si>
  <si>
    <t>2C</t>
  </si>
  <si>
    <t>2B</t>
  </si>
  <si>
    <t>PLANIFICACIÓN DE CONTRATOS 2017</t>
  </si>
  <si>
    <t>2A</t>
  </si>
  <si>
    <t>PLANIFICACIÓN DEL GASTO CORRIENTE 2017</t>
  </si>
  <si>
    <t>GASTO</t>
  </si>
  <si>
    <t>1E</t>
  </si>
  <si>
    <t>PROYECTOS DE MEJORA CONTINUA</t>
  </si>
  <si>
    <t>1D</t>
  </si>
  <si>
    <t>SUMILLAS DEL ALCALDE</t>
  </si>
  <si>
    <t>1C</t>
  </si>
  <si>
    <t xml:space="preserve">PROYECTOS DE ARRASTRE </t>
  </si>
  <si>
    <t>1B</t>
  </si>
  <si>
    <t>MICROPLANIFICACIÓN 2017</t>
  </si>
  <si>
    <t>1A</t>
  </si>
  <si>
    <t>PROYECTOS ESTRATEGICOS PDOT 2017</t>
  </si>
  <si>
    <t>PROYECTOS</t>
  </si>
  <si>
    <t>CODIFICACIÓN</t>
  </si>
  <si>
    <t>NOMBRE</t>
  </si>
  <si>
    <t>TIPO</t>
  </si>
  <si>
    <t>CODIFICACIÓN
PLAN OPERATIVO ANUAL 2017</t>
  </si>
  <si>
    <t>Total</t>
  </si>
  <si>
    <t>Unitario</t>
  </si>
  <si>
    <t>Descripción</t>
  </si>
  <si>
    <t>Código</t>
  </si>
  <si>
    <t>VALOR REFERENCIAL</t>
  </si>
  <si>
    <t>Ítem Presupuestario</t>
  </si>
  <si>
    <t xml:space="preserve">ESPECIFICACIONES TÉCNICAS </t>
  </si>
  <si>
    <t>CANTIDAD</t>
  </si>
  <si>
    <t>DESCRIPCIÓN DEL GASTO</t>
  </si>
  <si>
    <t>ANEXO 2A - GASTO CORRIENTE 2017
DETALLE DEL GASTO CORRIENTE</t>
  </si>
  <si>
    <t>Nuevo</t>
  </si>
  <si>
    <t>No</t>
  </si>
  <si>
    <t>Sí</t>
  </si>
  <si>
    <t>Mensual</t>
  </si>
  <si>
    <t>Finalización</t>
  </si>
  <si>
    <t>Inicio</t>
  </si>
  <si>
    <t>RUC</t>
  </si>
  <si>
    <t>Nombre</t>
  </si>
  <si>
    <t>¿Necesita Renovación?</t>
  </si>
  <si>
    <t>Montos del Contrato
(incluido el IVA)</t>
  </si>
  <si>
    <t>Fechas de Vigencia</t>
  </si>
  <si>
    <t>Datos del Proveedor</t>
  </si>
  <si>
    <t>Objeto del Contrato</t>
  </si>
  <si>
    <t>Nombre Abreviado del Contrato</t>
  </si>
  <si>
    <t>No. Contrato</t>
  </si>
  <si>
    <t>ANEXO 2B - GASTO CORRIENTE
MATRIZ RESUMEN DE CONTRATOS SUSCRITOS VIGENTES Y NUEVOS</t>
  </si>
  <si>
    <t>JUSTIFICACIÓN DE LA COMPRA</t>
  </si>
  <si>
    <t>DESCRIPCIÓN DEL BIEN A ADQUIRIR</t>
  </si>
  <si>
    <t>BIEN DE LARGA DURACIÓN</t>
  </si>
  <si>
    <t>PROYECTO</t>
  </si>
  <si>
    <t>GASTOS FINANCIEROS EN PROYECTOS DE ARRASTRE</t>
  </si>
  <si>
    <t>GASTOS FINANCIEROS EN PROYECTOS NUEVOS</t>
  </si>
  <si>
    <t>Otros</t>
  </si>
  <si>
    <t>Expropiación de Terrenos</t>
  </si>
  <si>
    <t>Edificios, Locales y Residencias</t>
  </si>
  <si>
    <t>Adquisición deTerrenos</t>
  </si>
  <si>
    <t>Partes y Repuestos</t>
  </si>
  <si>
    <t>Bienes Artísticos y Culturales</t>
  </si>
  <si>
    <t>Equipos, Sistemas y Paquetes Informáticos</t>
  </si>
  <si>
    <t>Herramientas</t>
  </si>
  <si>
    <t>Vehiculos</t>
  </si>
  <si>
    <t>Maquinarias  y Equipos</t>
  </si>
  <si>
    <t>Mobiliarios</t>
  </si>
  <si>
    <t>Prendas de protección (chalecos, cascos, etc.)</t>
  </si>
  <si>
    <t>Materiales  y herramientas de limpieza (tanto de oficinas como de calles, parques, avenidas, para  labores de topografías, etc.)</t>
  </si>
  <si>
    <t>Insumo para cafetería para el despacho</t>
  </si>
  <si>
    <t xml:space="preserve">Alquiler de bodegas / oficinas </t>
  </si>
  <si>
    <t>Alquiler de vehículos</t>
  </si>
  <si>
    <t xml:space="preserve">Materiales de Oficina (incluye material para recaudación </t>
  </si>
  <si>
    <t>GASTO CORRIENTE</t>
  </si>
  <si>
    <t>GASTOS DE CAPITAL</t>
  </si>
  <si>
    <t>FINANCIEROS</t>
  </si>
  <si>
    <t>ANEXO 2C - GASTOS DE CAPITAL
BIENES DE LARGA DURACIÓN 2017</t>
  </si>
  <si>
    <t>ANEXO 2D - GASTOS FINANCIEROS 2017
DETALLE DE GASTOS FINANCIEROS</t>
  </si>
  <si>
    <t>FUENTE DE PROYECTO</t>
  </si>
  <si>
    <t>SALDO 2017</t>
  </si>
  <si>
    <t>UNIDAD DE MEDIDA</t>
  </si>
  <si>
    <t>D. OBRAS PÚBLICAS</t>
  </si>
  <si>
    <t>D. ESTUDIOS Y PROYECTOS TECNICOS</t>
  </si>
  <si>
    <t>D. CONTROL Y GESTIÓN TERRITORIAL</t>
  </si>
  <si>
    <t>D. RIESGO Y GESTIÓN AMBIENTAL</t>
  </si>
  <si>
    <t>D. AVALUOS Y CATASTRO</t>
  </si>
  <si>
    <t>D. HIGIENE Y ASEO</t>
  </si>
  <si>
    <t>D. COMISARÍAS</t>
  </si>
  <si>
    <t>D. SEGURIDAD Y POLICÍA MUNICIPAL</t>
  </si>
  <si>
    <t>D. DESARROLLO TURISTICO</t>
  </si>
  <si>
    <t>D. DESARROLLO ECONOMICO Y PRODUCTIVO</t>
  </si>
  <si>
    <t>D. ATRACCIÓN DE INVERSIONES Y COOPERACIÓN INTERNACIONAL</t>
  </si>
  <si>
    <t>D. DESARROLLO CULTURAL</t>
  </si>
  <si>
    <t>D. DESARROLLO DEPORTIVO</t>
  </si>
  <si>
    <t>D. EDUCACIÓN COMPLEMENTARIA</t>
  </si>
  <si>
    <t>D. INCLUSIÓN SOCIAL Y SALUD</t>
  </si>
  <si>
    <t>EMPRESAS Y ENTIDADES ADSCRITAS</t>
  </si>
  <si>
    <t>D. ADMINISTRATIVO</t>
  </si>
  <si>
    <t>D. DESARROLLO HUMANO</t>
  </si>
  <si>
    <t>D. DESARROLLO INFORMATICO</t>
  </si>
  <si>
    <t>D. FINANCIERA</t>
  </si>
  <si>
    <t>D. COMPRAS PUBLICAS</t>
  </si>
  <si>
    <t>D. VINCULACIÓN Y PODER POPULAR</t>
  </si>
  <si>
    <t>D. COMUNICACIÓN</t>
  </si>
  <si>
    <t>SECRETARÍA GENERAL</t>
  </si>
  <si>
    <t>PROCURADURIA SINDICA</t>
  </si>
  <si>
    <t>SECRETARÍA DE DESARROLLO ESTRATEGICO</t>
  </si>
  <si>
    <t>D. PROSPECTIVA Y PROGRAMACIÓN CANTONAL</t>
  </si>
  <si>
    <t>D. CONTROL DE GESTIÓN</t>
  </si>
  <si>
    <t>D. INFORMACIÓN Y ESTADISTICA CANTONAL</t>
  </si>
  <si>
    <t xml:space="preserve">1A. PROYECTOS ESTRATEGICOS DEL PDOT 2017 </t>
  </si>
  <si>
    <t>1B. MICROPLANIFICACIÓN 2017</t>
  </si>
  <si>
    <t xml:space="preserve">1C. PROYECTOS DE ARRASTRE </t>
  </si>
  <si>
    <t xml:space="preserve">1D. SUMILLAS DEL ALCALDE </t>
  </si>
  <si>
    <t xml:space="preserve">1E. PROYECTOS DE MEJORA CONTINUA </t>
  </si>
  <si>
    <t xml:space="preserve">2A. PLANIFICACIÓN DEL GASTO CORRIENTE 2017 </t>
  </si>
  <si>
    <t xml:space="preserve">2B. PLANIFICACIÓN DE CONTRATOS 2017 </t>
  </si>
  <si>
    <t>2C. PLANIFICACIÓN DE GASTOS DE CAPITAL 2017</t>
  </si>
  <si>
    <t>2D. PLANIFICACIÓN DE GASTOS FINANCIEROS 2017</t>
  </si>
  <si>
    <t>AMBIENTAL</t>
  </si>
  <si>
    <t>SOCIAL</t>
  </si>
  <si>
    <t>ECONOMICO</t>
  </si>
  <si>
    <t>INSTITUCIONAL</t>
  </si>
  <si>
    <t>TERRITORIAL</t>
  </si>
  <si>
    <t>OE DEL PLAN DE DESARROLLO</t>
  </si>
  <si>
    <t>OE 1 Recuperar  el sistema hídrico de las cuencas de los  ríos Portoviejo y rio Chico,  sus principales caudales ecológicos y su recurso forestal.</t>
  </si>
  <si>
    <t xml:space="preserve">OE 2 Aprovechar de manera óptima las capacidades del suelo del cantón Portoviejo para el desarrollo de las  actividades humanas </t>
  </si>
  <si>
    <t>OE 3 Recuperar  y conservar los ecosistemas protegidos y no protegidos del cantón y su biodiversidad, con énfasis en los más frágiles</t>
  </si>
  <si>
    <t>OE 4 Mejorar la calidad ambiental en sus ámbitos atmosférico, acústico, visual, manejo de residuos sólidos y líquidos en los centros poblados del cantón</t>
  </si>
  <si>
    <t>OE 5 Intervenir sobre la vulnerabilidad del Cantón, para la disminución de riesgos y amenazas en particular frente a las inundaciones y los deslizamientos en Portoviejo</t>
  </si>
  <si>
    <t>OE 1 Desarrollar y diversificar la estructura y dinámica agropecuaria de Portoviejo</t>
  </si>
  <si>
    <t>OE 2 Desarrollar y diversificar la actividad turística de Portoviejo</t>
  </si>
  <si>
    <t>OE 3 Fortalecer los procesos de articulación y conectividad urbanas</t>
  </si>
  <si>
    <t>OE 4 Desarrollar la economía urbana de Portoviejo como eje de innovación y diversificación productiva</t>
  </si>
  <si>
    <t>OE 5 Fortalecer las condiciones y capacidades empresariales cantonales</t>
  </si>
  <si>
    <t xml:space="preserve">OE 1
Modernización institucional del GAD Municipal, instaurando una cultura de innovación, para conseguir una gestión pública de calidad y de servicio al ciudadano. </t>
  </si>
  <si>
    <t>OE 2 Establecer un sistema institucional conjunto y articulado para el impulso de políticas integrales de desarrollo cantonal  y regional</t>
  </si>
  <si>
    <t>OE 3 Fortalecer la institucionalidad democrática local y el empoderamiento ciudadano</t>
  </si>
  <si>
    <t>Organizar el territorio del Cantón considerando sus atributos y potencialidades, que posibilite la implementación de políticas públicas multisectoriales para la equidad y la sostenibilidad en el área urbana y rural y convertir a Portoviejo en un espacio de encuentro y centro dinamizador, articulador de la región</t>
  </si>
  <si>
    <t xml:space="preserve">OBRA </t>
  </si>
  <si>
    <t xml:space="preserve">BIEN </t>
  </si>
  <si>
    <t>SERVICIO</t>
  </si>
  <si>
    <t>CONSULTORÍA</t>
  </si>
  <si>
    <t>TODO EL CANTÓN</t>
  </si>
  <si>
    <t>PROYECTO INTERNO</t>
  </si>
  <si>
    <t>PORTOVIEJO</t>
  </si>
  <si>
    <t>12 DE MARZO</t>
  </si>
  <si>
    <t>COLON</t>
  </si>
  <si>
    <t>PICOAZÁ</t>
  </si>
  <si>
    <t>SAN PABLO</t>
  </si>
  <si>
    <t>ANDRES DE VERA</t>
  </si>
  <si>
    <t>FRANCISCO PACHECO</t>
  </si>
  <si>
    <t>18 DE OCTUBRE</t>
  </si>
  <si>
    <t>SIMON BOLIVAR</t>
  </si>
  <si>
    <t>ABDON CALDERON</t>
  </si>
  <si>
    <t>ALHAJUELA</t>
  </si>
  <si>
    <t>CRUCITA</t>
  </si>
  <si>
    <t>PUEBLO NUEVO</t>
  </si>
  <si>
    <t>RIO CHICO</t>
  </si>
  <si>
    <t>SAN PLACIDO</t>
  </si>
  <si>
    <t>CHIRIJO</t>
  </si>
  <si>
    <t>ANUAL</t>
  </si>
  <si>
    <t>PLURIANUAL</t>
  </si>
  <si>
    <t>SIMBOLOGÍA DE RESPONSABILIDAD DE CAMPOS DEL FORMATO</t>
  </si>
  <si>
    <t>DIRECCIÓN REQUIRENTE</t>
  </si>
  <si>
    <t>DIRECCIÓN FINANCIERA</t>
  </si>
  <si>
    <t>EPM. PORTOCOMERCIO</t>
  </si>
  <si>
    <t>EPM. PORTOMERCADOS</t>
  </si>
  <si>
    <t>EPM. PORTOPARQUES</t>
  </si>
  <si>
    <t>EPM. PORTOVIVIENDA</t>
  </si>
  <si>
    <t>CONSEJO CANTONAL DE PROTECCIÓN DE DERECHOS</t>
  </si>
  <si>
    <t xml:space="preserve">DIRECCIÓN / EMPRESA </t>
  </si>
  <si>
    <t>DGD. TERRITORIAL</t>
  </si>
  <si>
    <t>DGD. ECONOMICO</t>
  </si>
  <si>
    <t>DGD. SOCIAL</t>
  </si>
  <si>
    <t>DCD. INSTITUCIONAL</t>
  </si>
  <si>
    <t>D. APOYO</t>
  </si>
  <si>
    <t>DGD. PLANIFICACIÓN</t>
  </si>
  <si>
    <t>SELECCIONE DIRECCIÓN / EMPRESA</t>
  </si>
  <si>
    <t xml:space="preserve">OE 4 Fortalecer el tejido social y la integración territorial a través de la recuperación y configuración de espacios públicos vinculados al río y a las colinas circundantes como elementos estructurantes de la ciudad y el cantón.
</t>
  </si>
  <si>
    <t>OE 3 Mejorar las condiciones de seguridad del  Cantón y reducir los niveles de  delincuencia.</t>
  </si>
  <si>
    <t xml:space="preserve">OE 2 Promover la mejora de la cobertura y calidad de los servicios públicos de salud y educación en zonas más deficitarias, mediante la adecuada articulación con el Gobierno Central.
</t>
  </si>
  <si>
    <t>OE 1 Reducir las brechas de cobertura en los servicios  públicos de saneamiento; agua potable y alcantarillado y mejorar progresivamente su calidad.</t>
  </si>
  <si>
    <t>OE 5 Revalorizar la cultura local, nacional e internacional, el arte y tradiciones ancestrales para elevar el sentido de identidad de la ciudadanía y el aprovechamiento del patrimonio tangible e intangible.</t>
  </si>
  <si>
    <t>OE 6 Proteger a los grupos de atención prioritaria durante el ciclo de vida a través de mecanismos de inclusión económica y social y en coordinación con los demás niveles de gobierno.</t>
  </si>
  <si>
    <t>ACTIVIDAD A CONTRATAR</t>
  </si>
  <si>
    <t xml:space="preserve">MONTO DEL PROYECTO 2017 </t>
  </si>
  <si>
    <t>FECHA DE LEVANTAMIENTO DE LA NECESIDAD</t>
  </si>
  <si>
    <t>ANEXO DE PROYECTOS 1C
PROYECTOS DE ARRASTRE</t>
  </si>
  <si>
    <t xml:space="preserve">ANEXO DE PROYECTOS 1A 
PROYECTOS ESTRATEGICOS DEL PDOT </t>
  </si>
  <si>
    <t>ANEXO DE PROYECTOS 1D
SUMILLAS DEL ALCALDE</t>
  </si>
  <si>
    <t>ANEXO DE PROYECTOS 1E
PROYECTOS DE MEJORAMIENTO CONTINUO</t>
  </si>
  <si>
    <t>CAMPO AUTOMATICO</t>
  </si>
  <si>
    <t>EPM PORTOVIAL</t>
  </si>
  <si>
    <t>SEÑALIZACIÓN VERTICAL DE LAS CALLES Y AVENIDAS DEL CANTÓN PORTOVIEJO</t>
  </si>
  <si>
    <t>ESTUDIO DE TRANSPORTE TERRESTRE</t>
  </si>
  <si>
    <t>NUEVO</t>
  </si>
  <si>
    <t>ARRASTRE</t>
  </si>
  <si>
    <t>ARRENDAMIENTO DE BIENES</t>
  </si>
  <si>
    <t>BIENES DE USO Y CONSUMO CORRIENTE</t>
  </si>
  <si>
    <t>BIENES MUEBLES NO DEPRECIABLES</t>
  </si>
  <si>
    <t>IMPUESTOS TASAS Y CONTRIBUCIONES</t>
  </si>
  <si>
    <t>DIETAS</t>
  </si>
  <si>
    <t>REMUNERACIONES SERVIDORES AÑO 2017</t>
  </si>
  <si>
    <t>TRASLADOS, INSTALACIONES,  VIATICOS Y SUBSISTENCIAS</t>
  </si>
  <si>
    <t>*CONSULTORIA, ASESORIA E INVESTIGACION ESPECIALIZADA</t>
  </si>
  <si>
    <t>*CAPACITACION A SERVIDORES PUBLICOS</t>
  </si>
  <si>
    <t>*DESARROLLO, ACTUALIACION, ASISTENCIA TECNICA Y SOPORTE DE SISTEMAS INFORMATICOS</t>
  </si>
  <si>
    <t>*ARRENDAMIENTO Y LICIENCIAS DE USO DE PAQUETES INFORMATICOS</t>
  </si>
  <si>
    <t>*MANTENIMIENTO Y REPARACION DE EQUIPOS Y SISTEMAS INFORMATICOS</t>
  </si>
  <si>
    <t>*ALIMENTOS Y BEBIDAS</t>
  </si>
  <si>
    <t>*VESTUARIO, LENCERIA Y PRENDAS DE PROTECCION</t>
  </si>
  <si>
    <t>*MATERIALES DE ASEO</t>
  </si>
  <si>
    <t xml:space="preserve">*HERRAMIENTAS </t>
  </si>
  <si>
    <t>*REPUESTOS Y ACCESORIOS</t>
  </si>
  <si>
    <t>*MENAJE DE COCINA, DE HOGAR, ACCESORIOS DESCARTABLES Y ACCESORIOS DE OFICINA</t>
  </si>
  <si>
    <t>*COMBUSTIBLES, LUBRICANTES Y ADITIVOS EN GENERAL PARA MAQUINARIA, PLANTAS ELECTRIFAS, EQUIPIOS Y OTROS, INCLUYE CONSUMO DE GAS</t>
  </si>
  <si>
    <t>*TASAS GENERALES, IMPUESTOS, CONTRITUBUCIONES, PERMISOS, LICENCIAS Y PATENTES.</t>
  </si>
  <si>
    <t>*COSTAS JUDICIALES, TRAMITES NOTARIALES Y LEGALIZACION DE DOCUMENTOS</t>
  </si>
  <si>
    <t>*INDEMNIZACIONES POR SENTENCIAS JUDICIALES</t>
  </si>
  <si>
    <t>*OTROS GASTOS FINANCIEROS</t>
  </si>
  <si>
    <t>FONDOS DE REPOSICION</t>
  </si>
  <si>
    <t>2A. PLANIFICACIÓN DEL GASTO CORRIENTE 2018</t>
  </si>
  <si>
    <t>2A. PLANIFICACIÓN DEL GASTO CORRIENTE 2019</t>
  </si>
  <si>
    <t>2A. PLANIFICACIÓN DEL GASTO CORRIENTE 2020</t>
  </si>
  <si>
    <t>2A. PLANIFICACIÓN DEL GASTO CORRIENTE 2021</t>
  </si>
  <si>
    <t>2A. PLANIFICACIÓN DEL GASTO CORRIENTE 2022</t>
  </si>
  <si>
    <t>2A. PLANIFICACIÓN DEL GASTO CORRIENTE 2023</t>
  </si>
  <si>
    <t>2A. PLANIFICACIÓN DEL GASTO CORRIENTE 2024</t>
  </si>
  <si>
    <t>2A. PLANIFICACIÓN DEL GASTO CORRIENTE 2025</t>
  </si>
  <si>
    <t>2A. PLANIFICACIÓN DEL GASTO CORRIENTE 2026</t>
  </si>
  <si>
    <t>2A. PLANIFICACIÓN DEL GASTO CORRIENTE 2027</t>
  </si>
  <si>
    <t>2A. PLANIFICACIÓN DEL GASTO CORRIENTE 2028</t>
  </si>
  <si>
    <t>2A. PLANIFICACIÓN DEL GASTO CORRIENTE 2029</t>
  </si>
  <si>
    <t>2A. PLANIFICACIÓN DEL GASTO CORRIENTE 2030</t>
  </si>
  <si>
    <t>2A. PLANIFICACIÓN DEL GASTO CORRIENTE 2031</t>
  </si>
  <si>
    <t>2A. PLANIFICACIÓN DEL GASTO CORRIENTE 2032</t>
  </si>
  <si>
    <t>2A. PLANIFICACIÓN DEL GASTO CORRIENTE 2033</t>
  </si>
  <si>
    <t>2A. PLANIFICACIÓN DEL GASTO CORRIENTE 2034</t>
  </si>
  <si>
    <t>2A. PLANIFICACIÓN DEL GASTO CORRIENTE 2035</t>
  </si>
  <si>
    <t>2A. PLANIFICACIÓN DEL GASTO CORRIENTE 2036</t>
  </si>
  <si>
    <t>2A. PLANIFICACIÓN DEL GASTO CORRIENTE 2037</t>
  </si>
  <si>
    <t>2A. PLANIFICACIÓN DEL GASTO CORRIENTE 2038</t>
  </si>
  <si>
    <t>2A. PLANIFICACIÓN DEL GASTO CORRIENTE 2039</t>
  </si>
  <si>
    <t>2A. PLANIFICACIÓN DEL GASTO CORRIENTE 2040</t>
  </si>
  <si>
    <t>2A. PLANIFICACIÓN DEL GASTO CORRIENTE 2041</t>
  </si>
  <si>
    <t>2A. PLANIFICACIÓN DEL GASTO CORRIENTE 2042</t>
  </si>
  <si>
    <t>2A. PLANIFICACIÓN DEL GASTO CORRIENTE 2043</t>
  </si>
  <si>
    <t>2A. PLANIFICACIÓN DEL GASTO CORRIENTE 2044</t>
  </si>
  <si>
    <t>2A. PLANIFICACIÓN DEL GASTO CORRIENTE 2045</t>
  </si>
  <si>
    <t>2A. PLANIFICACIÓN DEL GASTO CORRIENTE 2046</t>
  </si>
  <si>
    <t>2A. PLANIFICACIÓN DEL GASTO CORRIENTE 2047</t>
  </si>
  <si>
    <t>2A. PLANIFICACIÓN DEL GASTO CORRIENTE 2048</t>
  </si>
  <si>
    <t>2A. PLANIFICACIÓN DEL GASTO CORRIENTE 2049</t>
  </si>
  <si>
    <t>2A. PLANIFICACIÓN DEL GASTO CORRIENTE 2050</t>
  </si>
  <si>
    <t>2A. PLANIFICACIÓN DEL GASTO CORRIENTE 2051</t>
  </si>
  <si>
    <t>2A. PLANIFICACIÓN DEL GASTO CORRIENTE 2052</t>
  </si>
  <si>
    <t>2A. PLANIFICACIÓN DEL GASTO CORRIENTE 2053</t>
  </si>
  <si>
    <t>2A. PLANIFICACIÓN DEL GASTO CORRIENTE 2054</t>
  </si>
  <si>
    <t>2A. PLANIFICACIÓN DEL GASTO CORRIENTE 2055</t>
  </si>
  <si>
    <t>2A. PLANIFICACIÓN DEL GASTO CORRIENTE 2056</t>
  </si>
  <si>
    <t>2A. PLANIFICACIÓN DEL GASTO CORRIENTE 2057</t>
  </si>
  <si>
    <t>2A. PLANIFICACIÓN DEL GASTO CORRIENTE 2058</t>
  </si>
  <si>
    <t>2A. PLANIFICACIÓN DEL GASTO CORRIENTE 2059</t>
  </si>
  <si>
    <t>2A. PLANIFICACIÓN DEL GASTO CORRIENTE 2060</t>
  </si>
  <si>
    <t>2A. PLANIFICACIÓN DEL GASTO CORRIENTE 2061</t>
  </si>
  <si>
    <t>2A. PLANIFICACIÓN DEL GASTO CORRIENTE 2062</t>
  </si>
  <si>
    <t>2A. PLANIFICACIÓN DEL GASTO CORRIENTE 2063</t>
  </si>
  <si>
    <t>2A. PLANIFICACIÓN DEL GASTO CORRIENTE 2064</t>
  </si>
  <si>
    <t>2A. PLANIFICACIÓN DEL GASTO CORRIENTE 2065</t>
  </si>
  <si>
    <t>2A. PLANIFICACIÓN DEL GASTO CORRIENTE 2066</t>
  </si>
  <si>
    <t>2A. PLANIFICACIÓN DEL GASTO CORRIENTE 2067</t>
  </si>
  <si>
    <t>2A. PLANIFICACIÓN DEL GASTO CORRIENTE 2068</t>
  </si>
  <si>
    <t>2A. PLANIFICACIÓN DEL GASTO CORRIENTE 2069</t>
  </si>
  <si>
    <t>2A. PLANIFICACIÓN DEL GASTO CORRIENTE 2070</t>
  </si>
  <si>
    <t>2A. PLANIFICACIÓN DEL GASTO CORRIENTE 2071</t>
  </si>
  <si>
    <t>2A. PLANIFICACIÓN DEL GASTO CORRIENTE 2072</t>
  </si>
  <si>
    <t>PROPIO</t>
  </si>
  <si>
    <t>BIENES MUEBLES</t>
  </si>
  <si>
    <t>MOBILIARIO (Bienes de Larga duraciòn)</t>
  </si>
  <si>
    <t>MAQUINARIAS Y EQUIPOS (Bienes de Larga Duraciòn)</t>
  </si>
  <si>
    <t>EQUIPOS, SISTEMAS Y PAQUETES INFORMATICOS</t>
  </si>
  <si>
    <t>PARTES Y REPUESTOS</t>
  </si>
  <si>
    <t>BIENES INMUEBLES</t>
  </si>
  <si>
    <t>TERRENOS</t>
  </si>
  <si>
    <t>EDIFICIOS, LOCALES Y RESIDENCIA</t>
  </si>
  <si>
    <t>DEUDA FLOTANTE</t>
  </si>
  <si>
    <t>GASTOS DE FINANCIAMIENTO</t>
  </si>
  <si>
    <t>*EQUIPOS, SISTEMAS Y PAQUETES INFORMATICOS</t>
  </si>
  <si>
    <t>*PARTES Y REPUESTOS</t>
  </si>
  <si>
    <t>*TERRENOS</t>
  </si>
  <si>
    <t>*EDIFICIOS, LOCALES Y RESIDENCIA</t>
  </si>
  <si>
    <t>*DE CUENTAS POR PAGAR</t>
  </si>
  <si>
    <t>2C. PLANIFICACIÓN DE GASTOS DE CAPITAL 2018</t>
  </si>
  <si>
    <t>2C. PLANIFICACIÓN DE GASTOS DE CAPITAL 2019</t>
  </si>
  <si>
    <t>2C. PLANIFICACIÓN DE GASTOS DE CAPITAL 2023</t>
  </si>
  <si>
    <t>2C. PLANIFICACIÓN DE GASTOS DE CAPITAL 2024</t>
  </si>
  <si>
    <t>2C. PLANIFICACIÓN DE GASTOS DE CAPITAL 2025</t>
  </si>
  <si>
    <t>2C. PLANIFICACIÓN DE GASTOS DE CAPITAL 2026</t>
  </si>
  <si>
    <t>2C. PLANIFICACIÓN DE GASTOS DE CAPITAL 2027</t>
  </si>
  <si>
    <t>2D. PLANIFICACIÓN DE GASTOS FINANCIEROS 2018</t>
  </si>
  <si>
    <t>2D. PLANIFICACIÓN DE GASTOS FINANCIEROS 2019</t>
  </si>
  <si>
    <t>Aires Acondicionados</t>
  </si>
  <si>
    <t>Computadores, Impresoras</t>
  </si>
  <si>
    <t>Expropiaciòn</t>
  </si>
  <si>
    <t>Construccion edificio</t>
  </si>
  <si>
    <t>x</t>
  </si>
  <si>
    <t>arrastre</t>
  </si>
  <si>
    <t>nuevo</t>
  </si>
  <si>
    <t>PORTOVIAL2016-AJUCONT-EMERG-0001</t>
  </si>
  <si>
    <t xml:space="preserve"> PORTOVIAL2016-AJU-CONTRE0001 </t>
  </si>
  <si>
    <t>PU-OL-15-008</t>
  </si>
  <si>
    <t>PU-OL-15-025</t>
  </si>
  <si>
    <t>PORTOVIAL2016-AJU-CONTSIE0001</t>
  </si>
  <si>
    <t>COMPAÑÍA DE SEGURIDAD BERMUDEZ Y BERMUDEZ</t>
  </si>
  <si>
    <t>Arriendo 3000m2 para Patio de Revisiòn Vehicular</t>
  </si>
  <si>
    <t>Prestar servicios eficientes dentro de las competencias asumidas por el GAD MUN.</t>
  </si>
  <si>
    <t>DIXI ELIZABETH CEVALLOS MENDOZA</t>
  </si>
  <si>
    <t>TERRENOS (Arrendamientos)</t>
  </si>
  <si>
    <t>Mejorar y transparentar la informacion financiera de la empresa</t>
  </si>
  <si>
    <t>PROTELCOTELSA S.A</t>
  </si>
  <si>
    <t>ARRENDAMIENTO Y LICIENCIAS DE USO DE PAQUETES INFORMATICOS</t>
  </si>
  <si>
    <t>X</t>
  </si>
  <si>
    <t>Renovaciòn Licencia de mantenimiento Sistema Contable Olympo: Modulos: Contabilidad/presupuesto/tesoreria; Proyectos y Anexos Financieros</t>
  </si>
  <si>
    <t>Renovaciòn Licencia de mantenimiento Sistema Contable Olympo: Modulos: Inventario y Activos Fijos</t>
  </si>
  <si>
    <t>"SERVICIO DE PUBLICIDAD EN MEDIO DE COMUNICIACION ESCRITO PARA LA DIFUSION DE LAS ACTIVDIADES EMPRENDIDAS POR LA EPM -PORTOVIAL</t>
  </si>
  <si>
    <t>Informar a la ciudadania sobre las actividades de la empresa</t>
  </si>
  <si>
    <t>EL DIARIO EDIASA S.A.</t>
  </si>
  <si>
    <t>PUBLICIDAD Y PROPAGANDA EN MEDIOS DE COMUNICACIÓN MASIVA</t>
  </si>
  <si>
    <t xml:space="preserve">  "Servicio de Vigilancia Y Seguridad privada para la proteccion del personal, bienes, edificios, instalaciones e infraestructura d ela EPM PORTOVIAL"</t>
  </si>
  <si>
    <t>Brindar proteccion interna y externa a la EPM PORTOVIAL y usuarios</t>
  </si>
  <si>
    <t>SERVICIO DE SEGURIDAD Y VIGILANCIA</t>
  </si>
  <si>
    <t xml:space="preserve"> ARRIENDO INSTALACIONES PARA OFICINAS DE LA EPM PORTOVIAL UBICADAS EN EL PATIO DE REVISION TECNICA VEHICULAR.</t>
  </si>
  <si>
    <t>Contar con oficinas para la desarrollar la operatividad de la empresa, luego del Terremoto del 16A</t>
  </si>
  <si>
    <t>EDIFICIOS, LOCALES Y RESIDENCIAS, CASILLEROS, JUDICIALES Y BANCARIOS (Arrendamientos)</t>
  </si>
  <si>
    <t>DIRECCIÓN ADMINISTRATIVA FINANCIERA</t>
  </si>
  <si>
    <t>muebles</t>
  </si>
  <si>
    <t>Modulos 2.44 x 0,68 con patas y separadores</t>
  </si>
  <si>
    <t>Estaciones de trabajo</t>
  </si>
  <si>
    <t>Sillas</t>
  </si>
  <si>
    <t>Archivadores</t>
  </si>
  <si>
    <t>Sillas tipo secretaria sin brazos</t>
  </si>
  <si>
    <t>Repisas</t>
  </si>
  <si>
    <t>tipo arturito</t>
  </si>
  <si>
    <t>Equipos informaticos</t>
  </si>
  <si>
    <t>Core 17-IMG RAM DICTO 1TB, 4 gb sistema Window 81.</t>
  </si>
  <si>
    <t>condensadores para aires acondicionados</t>
  </si>
  <si>
    <t>60000btu piso techo</t>
  </si>
  <si>
    <t>Portatil</t>
  </si>
  <si>
    <t>Nuevo personal que no cuenta con mobililiario y equipos para desarrollar su trabajo, especialmente de la Direccion Tecnica</t>
  </si>
  <si>
    <t>Terreno</t>
  </si>
  <si>
    <t>Expropiacion</t>
  </si>
  <si>
    <t>Ampliar la superficie de terreno para la construcciòn del nuevo edificio de la EPM PORTOVIAL</t>
  </si>
  <si>
    <t>EDIFICACION</t>
  </si>
  <si>
    <t>Proyecto</t>
  </si>
  <si>
    <t>Valor inicial para financiar la construcciòn delnuevo edificio de la empresa.</t>
  </si>
  <si>
    <t>Alquiler de camioneta para mejorar la movilidad adm. Y operativa e la empresa</t>
  </si>
  <si>
    <t>Camioneta</t>
  </si>
  <si>
    <t>Tipo camioneta doble cabina, año maximo 3 años atrás</t>
  </si>
  <si>
    <t>VEHICULOS TERRESTRES (ARRENDAMIENTO)</t>
  </si>
  <si>
    <t>Alquiler terreno para Patio de Revivisiòn Vehicular</t>
  </si>
  <si>
    <t>Alquiler bodega y oficinas para el funcionamiento de la empresa</t>
  </si>
  <si>
    <t>Bodega/Oficinas</t>
  </si>
  <si>
    <t>Terreno de aproximadamente 3000m2 para la revision vehic ular</t>
  </si>
  <si>
    <t>2 locales</t>
  </si>
  <si>
    <t>Dos locales con una superficie de construccion aproximada de 430m2</t>
  </si>
  <si>
    <t>TERRENOS (ARRENDAMIENTOS)</t>
  </si>
  <si>
    <t>Insumos para despacho de gerencia y Agua en bidon para el personal</t>
  </si>
  <si>
    <t>varios: Café, splenda, azucar, Tè, vasos termicos, palillos, cucharillas, platos, servilletas y 280 bidones anuales de agua</t>
  </si>
  <si>
    <t>ALIMENTOS Y BEBIDAS</t>
  </si>
  <si>
    <t>Contratacion Servicio de Aseo y Limpieza de Oficinas y bodegas</t>
  </si>
  <si>
    <t>1 servicio</t>
  </si>
  <si>
    <t xml:space="preserve">Limpieza 760m2 </t>
  </si>
  <si>
    <t>Especificaciones en Catalogo Electronico inclusivo</t>
  </si>
  <si>
    <t>SERVICIO DE ASEO,VETIMENTA DE TRABAJO, FUMIGACION DESINFECCON Y LIMPIEZA DE LAS INSTALACIONES DEL SECTOR PUBLICO</t>
  </si>
  <si>
    <t xml:space="preserve">Contrataciòn Vestuario y Prendas de Protecciòn para el personal de servidores de la empresa </t>
  </si>
  <si>
    <t>Contratacion Uniformes 40 servidores; Contrataciòn de Prendas de Protecciòn para 25 servidores de las areas Tecnicas( RTV, Señalizaciòn vial y Semaforizaciòn, asi como de apoyo)</t>
  </si>
  <si>
    <t>Uniformes administrativos y operativos.   Prendas de protecciòn: Chalecos, Mangas, guantes, gorras, cascos, mascarillas, zapatos, mandiles.</t>
  </si>
  <si>
    <t>VESTUARIO, LENCERIA Y PRENDAS DE PROTECCION</t>
  </si>
  <si>
    <t>SEGUROS</t>
  </si>
  <si>
    <t>CAPACITACION A SERVIDORES PUBLICOS</t>
  </si>
  <si>
    <t>INSTALACION MANTENIMIENTO Y REPARACION DE EDIFICIOS, LOCALES Y RESIDIENCIA DE PROPIEDAD DE PERSONAS NATURALES, JURIDICAS O ENTIDADES PRIVADAS</t>
  </si>
  <si>
    <t>DIFUSION E INFORMACION</t>
  </si>
  <si>
    <t>PUBLICIDAD Y PROGAGANDA EN MEDIOS DE COMUNICACIÓN MASIVA</t>
  </si>
  <si>
    <t>ENERGIA ELECTRICA</t>
  </si>
  <si>
    <t>TELECOMUNICACIONES</t>
  </si>
  <si>
    <t>Renovacion Licencias Sistema Contable Olympo</t>
  </si>
  <si>
    <t>Licencias Soffware</t>
  </si>
  <si>
    <t>Modulos: Contabilidad, Proyectos, Anexos financieros, Activos Fijos, Inventario y Roles de pago</t>
  </si>
  <si>
    <t>Renovacion Licencia Antivirus</t>
  </si>
  <si>
    <t>ANTIVIRUS AREA INFORMATICA</t>
  </si>
  <si>
    <t>Contrataciòn Licencias Soffware Microsimulacion de Trafico y Transporte Pùblico</t>
  </si>
  <si>
    <t>Contrataciòn Polizas Seguros: Equipo Electronico, Responsabilidad Civil y Fidelidad Pùblica</t>
  </si>
  <si>
    <t>Polizas</t>
  </si>
  <si>
    <t>Polizas de Seguros</t>
  </si>
  <si>
    <t>Contrataciòn Varios eventos de Capacitaciòn para el personal de la EPM PORTOVIAL</t>
  </si>
  <si>
    <t>Talleres y Seminarios</t>
  </si>
  <si>
    <t>CURSOS</t>
  </si>
  <si>
    <t>Matenimiento de istalaciones EPM PORTOVIAL</t>
  </si>
  <si>
    <t>VARIOS.</t>
  </si>
  <si>
    <t>Logistica para cubrir Programas de Educaciòn Vial</t>
  </si>
  <si>
    <t>Contrataciòn Publicidad en Medios sobre las actividades de la Empresa</t>
  </si>
  <si>
    <t>ESPACIOS PUBLICITARIOS</t>
  </si>
  <si>
    <t>De acuerdo a la publicacion a realizar</t>
  </si>
  <si>
    <t>Consumo Energia Electrica EPM PORTOVIAL</t>
  </si>
  <si>
    <t>KW</t>
  </si>
  <si>
    <t xml:space="preserve"> </t>
  </si>
  <si>
    <t>kilovatios consumidos</t>
  </si>
  <si>
    <t>Consumo Telefonico, Internet, Conexión Datos Gad Mun. Y ANT, Frecuencia Radios</t>
  </si>
  <si>
    <t>Almohadilla para sellos</t>
  </si>
  <si>
    <t>Archivador tamaño oficio Lomo</t>
  </si>
  <si>
    <t>Boligrafo punta fina azul</t>
  </si>
  <si>
    <t>Boligrafo punta fina rojo</t>
  </si>
  <si>
    <t>Borrador blanco</t>
  </si>
  <si>
    <t>Borrador de Pizarra liquida</t>
  </si>
  <si>
    <t>Caja de Cartòn No. 15 con tapa</t>
  </si>
  <si>
    <t>Caja Clip mariposa</t>
  </si>
  <si>
    <t>Caja clip normal</t>
  </si>
  <si>
    <t>Caja de Grapa Semiindustrial 23/15 1000pcs</t>
  </si>
  <si>
    <t>Caja tachuelas de colores</t>
  </si>
  <si>
    <t>Carpeta manila con vinchas</t>
  </si>
  <si>
    <t>Carpetas colgantes Tmaño F</t>
  </si>
  <si>
    <t>Carpetas plasticas Tamaño A4</t>
  </si>
  <si>
    <t>Cepillo de acero pequeño</t>
  </si>
  <si>
    <t>Cera para dedos</t>
  </si>
  <si>
    <t>Cinta adhesiva transparente 18x25</t>
  </si>
  <si>
    <t>Cinta de embalaje transparente</t>
  </si>
  <si>
    <t>Cinta magica 19MMx25.4M</t>
  </si>
  <si>
    <t>Cinta Masking</t>
  </si>
  <si>
    <t>Corrector tipo esfero</t>
  </si>
  <si>
    <t>Cuaderno Espiral Universitario de 100H</t>
  </si>
  <si>
    <t>Desemgrasante de mano en crema 100 gr</t>
  </si>
  <si>
    <t>DVD-R-4.7 GB sin sobre</t>
  </si>
  <si>
    <t>Espatula 2.5 pulgadas m/plastico stanley</t>
  </si>
  <si>
    <t>Estilete pastico pqeuqeño</t>
  </si>
  <si>
    <t>Fechador Pequeño</t>
  </si>
  <si>
    <t>Sellos</t>
  </si>
  <si>
    <t>Foco incandesente para semaforo 69W</t>
  </si>
  <si>
    <t>Franela roja 1m</t>
  </si>
  <si>
    <t>Frasco de goma blanca</t>
  </si>
  <si>
    <t>Frasco de tinta Epson T6641 color negro</t>
  </si>
  <si>
    <t>Frasco de tinta Epson T6641 color azul</t>
  </si>
  <si>
    <t>Frasco de tinta Epson T6641 color rojo</t>
  </si>
  <si>
    <t>Frasco de tinta Epson T6641 color amarillo</t>
  </si>
  <si>
    <t>Frasco de tinta de agua para sellos</t>
  </si>
  <si>
    <t>Funda de ligas pequeñas</t>
  </si>
  <si>
    <t>Goma en Barra 21GR</t>
  </si>
  <si>
    <t>Grapadoras Standard</t>
  </si>
  <si>
    <t>Lapiz de madera con borrador</t>
  </si>
  <si>
    <t>Linterna luces led eveready AAA</t>
  </si>
  <si>
    <t>Marcador de tinta borrable</t>
  </si>
  <si>
    <t>Marcador de tina metalica pro line negro</t>
  </si>
  <si>
    <t>Marcador de tinta permanente</t>
  </si>
  <si>
    <t>Papel bond</t>
  </si>
  <si>
    <t>Paquete Papel carbòn 1015G negro</t>
  </si>
  <si>
    <t>Paquete separadores de hojas plasticos</t>
  </si>
  <si>
    <t>Perforadoras normal</t>
  </si>
  <si>
    <t>Pila alcalina AAA</t>
  </si>
  <si>
    <t>Pliego de lija de Agua No. 180 9x11</t>
  </si>
  <si>
    <t>POSIT (Notitas adhesivas) 3x3</t>
  </si>
  <si>
    <t>Removedor de pintura pintuco 1L</t>
  </si>
  <si>
    <t>Resaltador fluorecente varios colores</t>
  </si>
  <si>
    <t>Rollo de papel para Ploter</t>
  </si>
  <si>
    <t>Rollo de Papel termico sin copia</t>
  </si>
  <si>
    <t>Sacagrapas estándar</t>
  </si>
  <si>
    <t>Sacapuntas para lapiz</t>
  </si>
  <si>
    <t>Señalador tipo bandera adhesivo</t>
  </si>
  <si>
    <t>Sobre manila Tamaño F2</t>
  </si>
  <si>
    <t>Sobre manila Tamaño F4</t>
  </si>
  <si>
    <t>Sobre manila Tamaño F6</t>
  </si>
  <si>
    <t>Toner Generico para copiadora Ricoh MP4001</t>
  </si>
  <si>
    <t>Toner HP 83A</t>
  </si>
  <si>
    <t>Documentos Seguridad Matriculacion vehicular</t>
  </si>
  <si>
    <t>Stiker RTV</t>
  </si>
  <si>
    <t>MATERIALES DE OFICINA</t>
  </si>
  <si>
    <t>Libretas de apunte</t>
  </si>
  <si>
    <t>INSUMOS, BIENES, MATERIALES Y  SUMINISTROS PARA LA CONSTRUCCION, ELECTRICOS, PLOMERIA, CARPINTERIA, SEÑALIZACION VIAL, NAVEGACION Y CONTRAINCENDIOS.</t>
  </si>
  <si>
    <t>ESTUDIOS Y DISEÑOS DE PROYECTOS</t>
  </si>
  <si>
    <t>CONSULTORIA, ASESORIA E INVESTIGACION ESPECIALIZADA</t>
  </si>
  <si>
    <t>OTRAS INSTALACIONES, MANTENIMIENTO Y REPARACIONES</t>
  </si>
  <si>
    <t>SERVICIOS BASICOS</t>
  </si>
  <si>
    <t>SERVICIOS GENERALES</t>
  </si>
  <si>
    <t>TRASLADOS, INSTALACIONES, VIATICOS Y SUBSISTENCIAS</t>
  </si>
  <si>
    <t>INSTALACION MANTENIMIENTO Y REPARACIONES</t>
  </si>
  <si>
    <t>CONTRATACION DE ESTUDIOS, INVESTIGACIONES Y SERVICIO TECNICO ESPECIALIZADO</t>
  </si>
  <si>
    <t>GASTOS EN INFORMATICA</t>
  </si>
  <si>
    <t>IMPUESTOS, TASAS Y CONTRIBUCIONES</t>
  </si>
  <si>
    <t>SEGUROS, COSTOS FINANCIEROS Y OTROS GASTOS</t>
  </si>
  <si>
    <t>REMUNERACIONES BASICAS</t>
  </si>
  <si>
    <t xml:space="preserve">SERVICIO DE SEÑALIZACION HORIZONTAL PARA EL CANTON PORTOVIEJO </t>
  </si>
  <si>
    <t>SERVICIO DE ADQUISICION Y MANTENIMIETNO DE SEÑALIZACION VERTICAL PARA VARIOS SECTORES DEL CANTON PORTOVIEJO</t>
  </si>
  <si>
    <t>PROVISION DE MEZCLA ASFALTICA PARA CONSTRUCCION DE REDUCTORES DE VELOCIDAD</t>
  </si>
  <si>
    <t>ADQUISICIÓN Y MANTENIMIENTO DEL SISTEMA DE SEMAFORIZACION DEL CANTON PORTOVIEJO</t>
  </si>
  <si>
    <t>ADQUISICION Y PROVISION DE BIENES E INSUMOS PARA LA SEÑALIZACION VIAL DEL CANTON PORTOVIEJO ( DISPOSITIVOS DE SEGURIDAD VIAL Y CABLEADO SOTERRADO INSTALACIONES SEMAFORICAS.</t>
  </si>
  <si>
    <t>PROGRAMA DE EDUCACION VIAL PARA LAS ESCUELAS DEL CANTON PORTOVIEJO AÑO 2017</t>
  </si>
  <si>
    <t>CONTRATO ARRASTRE "SERVICIO DE SEÑALIZACION VERTICAL DE VARIOS SECTORES DEL CANTON PORTOVIEJO"</t>
  </si>
  <si>
    <t>DIRECCIÓN TÉCNICA</t>
  </si>
  <si>
    <t>Incrementar el nivel y la  calidad en el transporte, tránsito y seguridad vial en el Cantón.</t>
  </si>
  <si>
    <t>Número de metros (lineales y cuadrados)  de calles y avenidas señalizadas</t>
  </si>
  <si>
    <t>Número de señaleticas implementadas en el cantón</t>
  </si>
  <si>
    <t>Número de reductores de velocidad implementados</t>
  </si>
  <si>
    <t>Unidad</t>
  </si>
  <si>
    <t>Caja de grapas 26/6 5000pcs</t>
  </si>
  <si>
    <t>CD-R 700MB CON SOBRE</t>
  </si>
  <si>
    <t xml:space="preserve">Resma de papel bond A3 </t>
  </si>
  <si>
    <t>Rollo de limpion industrial</t>
  </si>
  <si>
    <t>sobre blanco para CD</t>
  </si>
  <si>
    <t>Número de intersecciones semaforizadas repotenciadas</t>
  </si>
  <si>
    <t>Número de calles y avenidas señalizadas con dispositivos viales</t>
  </si>
  <si>
    <t>Base actualizada de la red vial del cantón</t>
  </si>
  <si>
    <t xml:space="preserve">Central de semaforización implementada </t>
  </si>
  <si>
    <t>Número de niños y niñas escolares empoderadas del programa de educación vial</t>
  </si>
  <si>
    <t>Estudio de Transporte implementado en el cantón</t>
  </si>
  <si>
    <t>TODOS</t>
  </si>
  <si>
    <t>SUBASTA INVERSA ELECTRONICA</t>
  </si>
  <si>
    <t>LISTA CORTA</t>
  </si>
  <si>
    <t>N/A</t>
  </si>
  <si>
    <t>5000 niños y niñas capacitadas en el programa de Seguridad Vial</t>
  </si>
  <si>
    <t>Ordanamiento de Rutas de Transporte Público.               Definición de necesidades del transporte Comercial</t>
  </si>
  <si>
    <t>Red vial actualizada del cantón</t>
  </si>
  <si>
    <t>1 Central Semafórica implementada y funcionando</t>
  </si>
  <si>
    <t>110 intersecciones semafóricas funcionando</t>
  </si>
  <si>
    <t>13 INTERSECCIONES NUEVAS</t>
  </si>
  <si>
    <t>15 REDUCTORES DE VELOCIDAD</t>
  </si>
  <si>
    <t>300 SEÑALETICAS IMPLEMENTADAS</t>
  </si>
  <si>
    <t>500 SEÑALETICAS IMPLEMENTADAS</t>
  </si>
  <si>
    <t>ESTUDIOS DE MOVILIDAD DEL CANTON PORTOVIEJO (INVENTARIO VIAL - PARQUEO TARIFADO)</t>
  </si>
  <si>
    <t>SISTEMA DE SEMAFORIZACIÓN ADAPTATIVO 
(VIAS DE ALTO IMPACTO CAT. A)</t>
  </si>
  <si>
    <t>SEÑALIZACION HORIZONTAL              87000 ml                                                            9000m2 SEÑALIZADOS</t>
  </si>
  <si>
    <t>ELABORADO POR: EPM PORTOVIAL</t>
  </si>
  <si>
    <t>REVISADO POR: DIRECCIÓN DE PLANIFICACIÓN GAD MUNICIPAL</t>
  </si>
  <si>
    <t>APROBADO POR: DIRECTORIO EPM PORTOVIAL</t>
  </si>
  <si>
    <t>TOTAL</t>
  </si>
  <si>
    <t>*MATERIALES DE IMPRESIÓN, FOTOGRAFIA, REPRODUCCON Y PUBLICACIONES</t>
  </si>
  <si>
    <t>*MATERIALES DE CONSTRUCCION, ELECTRICOS, PLOMERIA Y CARPINTERIA Y SEÑALIZACON VIAL</t>
  </si>
  <si>
    <t>*REPUESTOS Y ACCESORIOS PARA  MAQUINARIAS, PLANTAS ELECTRICAS, EUQIPOS Y OTROS</t>
  </si>
  <si>
    <t>TOTAL INVERSIÓN</t>
  </si>
  <si>
    <t>TOTAL PRESUPUESTO</t>
  </si>
  <si>
    <t>PAGO 5 X MIL AL MEF SOBRE LOS INGRESOS</t>
  </si>
  <si>
    <t>A ENTIDADES DESCENTRALIZADAS</t>
  </si>
  <si>
    <t>FONDO DE CAJA CHICA</t>
  </si>
  <si>
    <t>DIETAS MIEMBROS DIRECTORIO</t>
  </si>
  <si>
    <t>CONTRACION POLIZAS SEGUROS EPM PORTOVIAL</t>
  </si>
  <si>
    <t xml:space="preserve">SERVICIO DE SEÑALIZACION HORIZONTAL PARA EL CANTÓN PORTOVIEJO </t>
  </si>
  <si>
    <t>INDICADOR ESTRATÉGICO</t>
  </si>
  <si>
    <t>% de Cumplimiento de ejecución del Plan de Movilidad</t>
  </si>
  <si>
    <t>% de Disminución de Accidentes de tránsito</t>
  </si>
  <si>
    <t>% de Calidad del Servicio</t>
  </si>
  <si>
    <t xml:space="preserve">Porcentaje de ejecución presupuestaria </t>
  </si>
  <si>
    <t>% de Cumplimiento del plan de capacitación</t>
  </si>
  <si>
    <t>CONTRATACION SERVICIOS BASICOS: LUZ, AGUA, TELECOMUNICACIONES, CORREOS, PASAJES AEREOS</t>
  </si>
  <si>
    <t>SERVICIOS GENERALES:.-  IMPRESIÓN DOCUMENTOS HABILITANTES MATRICULACION VEHICULAR, SERVICIO SEGURIDAD Y VIGILANCIA, PUBLICIDAD</t>
  </si>
  <si>
    <t>* IMPRESIÒN Y REPRODUCCION, FORMULARIOS, ESPECIES " CONTRATACION "ELABORACION DE TITULOS HABILITANTES PARA REGISTROS DE MATRICULAS Y STIKER  REVISION VEHICULAR"</t>
  </si>
  <si>
    <t>* DIFUSION, PUBLICIDAD EN MEDIOS MASIVOS Y OTROS</t>
  </si>
  <si>
    <t>*CONTRATACION SERVICIOS DE SEGURIDAD Y VIGILANCIA</t>
  </si>
  <si>
    <t>*CONTRATACIÒN SERVICIOS DE ASEO Y LIMPIEZA DE OFICINA</t>
  </si>
  <si>
    <t>*OTROS SERVICIOS GENERALES</t>
  </si>
  <si>
    <t>INSTALACIONES MANTENIMIENTO Y REPARACIONES DE MOBILIARIO, MAQUINARIAS Y EDIFICIOS, LOCALES Y RESIDENCIAS</t>
  </si>
  <si>
    <t>*TERRENOS (INSTALACION, MANTENIMIENTO Y REPARACIONES)</t>
  </si>
  <si>
    <t>*MOBILIARIO</t>
  </si>
  <si>
    <t>* MAQUINARIAS Y EQUIPOS</t>
  </si>
  <si>
    <t>*HERRAMIENTAS (INSTALACIONES, MANT. Y REPARACIONES)</t>
  </si>
  <si>
    <t>*INFRAESTRUCTURA</t>
  </si>
  <si>
    <t>*GASTOS EN MANTENIMIENTO DE AREAS VERDES Y ARREGLO DE VIAS INTERNAS</t>
  </si>
  <si>
    <t>*INSTALACION MANTENIMIENTO Y REPARACION DE EDIFICIOS, LOCALES Y RESIDIENCIA DE PROPIEDAD DE PERSONAS NATURALES, JURIDICAS O ENTIDADES PRIVADAS</t>
  </si>
  <si>
    <t>* OTRAS INSTALACIONES, MANTENIMIENTO Y REPARACIONES</t>
  </si>
  <si>
    <t>ARRENDAMIENTO TERRENO RTV, LOCALES EDIFICIOS Y RESIDENCIAS Y VEHICULO</t>
  </si>
  <si>
    <t>* ARRENDAMIENTO DE TERRENOS</t>
  </si>
  <si>
    <t>* ARRENDAMIENTO DE EDIFICIOS, LOCALES Y RESIDENCIAS</t>
  </si>
  <si>
    <t>* VEHICULOS TERRESTRES (ARRENDAMIENTO)</t>
  </si>
  <si>
    <t>*OTROS ARRENDAMIENTOS (MAQUINARIAS Y EQUIPOS, HERRAMIENTAS, ETC)</t>
  </si>
  <si>
    <t>RENOVACION LICENCIAS DE USO DE PAQUETES INFORMATICOS DIFERENTES AREAS</t>
  </si>
  <si>
    <t>ALIMENTOS Y BEBIDAS, VESTUARIO, LENCERIA Y PRENDAS DE PROTECCIÒN, MATERIALES DE OFICINA, ELECTRICO Y PLOMERIA</t>
  </si>
  <si>
    <t>*MUEBLES Y EQUIPOS</t>
  </si>
  <si>
    <t>*HERRAMIENTAS</t>
  </si>
  <si>
    <t>* SEGUROS</t>
  </si>
  <si>
    <t>*COMISIONES BANCARIAS</t>
  </si>
  <si>
    <t/>
  </si>
  <si>
    <t>*MOBILIARIO (BIENES DE LARGA DURACIÒN)</t>
  </si>
  <si>
    <t>% de Herramientas Tecnológicas Implementadas en la Operación y Control</t>
  </si>
  <si>
    <t>Incrementar el nivel y la  calidad del transporte, tránsito y seguridad vial detro del Cantón.</t>
  </si>
  <si>
    <t>CONTRATO DE ARRASTRE " ESTUDIOS DE REORDENAMIENTO DE RUTAS Y REESTRUCTURACIÓN DEL TRANSPORTE COMERCIAL"</t>
  </si>
  <si>
    <t>CONTRATO ARRATRE " IMPLEMENTACION DE SISTEMA SEMAFORICO AV. 15 DE ABRIL"</t>
  </si>
  <si>
    <t>ESTUDIOS Y PROYECTOS, CAPACITACIÒN (Arrastre estudio Edificio)</t>
  </si>
  <si>
    <t>TOTAL GASTO CORRIENTE/CAPITAL Y FINANCIAMIENTO</t>
  </si>
  <si>
    <t>CONTRATO ARRATRE "ESTUDIO ASCENSO MODELO DE GESTIÓN A</t>
  </si>
  <si>
    <t>REFORMA</t>
  </si>
  <si>
    <t>CODIFICADO</t>
  </si>
  <si>
    <t>MAQUINARIA Y EQUIPOS</t>
  </si>
  <si>
    <t>POA AREA TECNICA</t>
  </si>
  <si>
    <t>PRESUPUESTO INICIAL</t>
  </si>
  <si>
    <t>PRESUPUESTO MODIFICADO</t>
  </si>
  <si>
    <t>BIENES Y SERVICIOS PARA INVERSION</t>
  </si>
  <si>
    <t>Difusion e informaciòn ( Educaciòn Vial)</t>
  </si>
  <si>
    <t>Publicidad y Propaganda en Medios de Comunicación Masiva (Programa Educaciòn vial.</t>
  </si>
  <si>
    <t>INSTALACIONES MANTENIMIENTO Y REPARACIONES</t>
  </si>
  <si>
    <t>OTRAS INSTALACIONES, MANTENIMIENTO Y REPARACIONES  (Adq.  Y mantenimiento del Sistema Semaforico del Cantòn Portoviejo</t>
  </si>
  <si>
    <t>CONSULTORIA, ASESORIA E INVESTIGACION ESPECIALIZADA (Arrastre año 2016)</t>
  </si>
  <si>
    <t>ESTUDIOS Y DISEÑOS DE PROYECTOS (Inventario Vial)</t>
  </si>
  <si>
    <t>HONORARIOS POR CONTRATOS CIVILES DE SERVICIOS (Programa Educacion Vial Precavidos)</t>
  </si>
  <si>
    <t>BIENES DE USO Y CONSUMO DE INVERSION</t>
  </si>
  <si>
    <t>730811.01</t>
  </si>
  <si>
    <t>730811.02</t>
  </si>
  <si>
    <t>SEÑALIZACION VERTICAL (Servicio de Mantenimiento Señalizac. Vertical y Arrastre contrato 2016)</t>
  </si>
  <si>
    <t>730811.03</t>
  </si>
  <si>
    <t>ADQUISICION Y PROVISION DE BIENES E INSUMOS PARA LA SEÑALIZACION VIAL DEL CANTON PORTOVIEJO ( Dispositivos de Seguridad vial y cableado soterrado instaciones semaforicas)</t>
  </si>
  <si>
    <t>730811.04</t>
  </si>
  <si>
    <t>SEMAFORIZACION (Adq. E instalaciòn Central Semaforica)</t>
  </si>
  <si>
    <t>MATERIALES DIDACTICOS (Programa Educaciòn Vial)</t>
  </si>
  <si>
    <t>REFORMAS</t>
  </si>
  <si>
    <t>POR EJECUTAR</t>
  </si>
  <si>
    <t>01.01.001.0001.731406.000.13.01.06.000.000</t>
  </si>
  <si>
    <t>HERRAMIENTAS</t>
  </si>
  <si>
    <t>Mezcla asfaltica Reductores de velocidad)</t>
  </si>
  <si>
    <t>SEÑALIZACION HORIZONTAL ( Señaliz.Horizontal )</t>
  </si>
  <si>
    <t>i</t>
  </si>
  <si>
    <t>Inicial Procesos Eventos Octubre / inicios Septiembre/17</t>
  </si>
  <si>
    <t>Adq. De baculos, postes a traves Infimas (Hasta Junio/17)</t>
  </si>
  <si>
    <t>Pago Estudios Rutas màximo hasta Julio/2017</t>
  </si>
  <si>
    <t>Con saldo disponible (Reforma para Señaletica Vertical)</t>
  </si>
  <si>
    <t>Junio Contratar (forma de pago 4 pagos mensuales por sectores hasta Nov/17</t>
  </si>
  <si>
    <t>Planillas mensuales (pagos hasta Agosto/17)</t>
  </si>
  <si>
    <t>Contratacion Junio/Julio ( 4 meses, planillaje mensual)</t>
  </si>
  <si>
    <t>Pagos Procelec (Junio); Dispositivos (contrato Junio)</t>
  </si>
  <si>
    <t>D. Técnico / Proceso</t>
  </si>
  <si>
    <t>POR EJECUTAR PRES.</t>
  </si>
  <si>
    <t>SALDO DISPONIBLE</t>
  </si>
  <si>
    <t>tabavela quito</t>
  </si>
  <si>
    <t>Quito Tabavela</t>
  </si>
  <si>
    <t>Portoviejo Manta</t>
  </si>
  <si>
    <t>Pamela</t>
  </si>
  <si>
    <t>Gustavo</t>
  </si>
  <si>
    <t>Cynthia</t>
  </si>
  <si>
    <t>Néstor</t>
  </si>
  <si>
    <t>Nancy</t>
  </si>
  <si>
    <t>Katty</t>
  </si>
  <si>
    <t>Taxi Tabav.mef</t>
  </si>
  <si>
    <t>Taxi Port.Manta</t>
  </si>
  <si>
    <t>Taxi Mef-Tabavela</t>
  </si>
  <si>
    <t>Reembolso desplazamiento</t>
  </si>
  <si>
    <t>Desplazamientos</t>
  </si>
  <si>
    <t>Viaticos</t>
  </si>
  <si>
    <t>DESPLAZAMIENTOS/MOVILIZACION</t>
  </si>
  <si>
    <t>Sdo. A reemb.</t>
  </si>
  <si>
    <t xml:space="preserve">  $431,00 (Cadenas y otros</t>
  </si>
  <si>
    <t>PAGADO</t>
  </si>
  <si>
    <t>EN EJECUCION</t>
  </si>
  <si>
    <t>COMPROMETIDO</t>
  </si>
  <si>
    <t>Mantenimiento</t>
  </si>
  <si>
    <t>Horizontal</t>
  </si>
  <si>
    <t>Vertical</t>
  </si>
  <si>
    <t>Dispositivos</t>
  </si>
  <si>
    <t>Central</t>
  </si>
  <si>
    <t>Mat.Didacticos</t>
  </si>
  <si>
    <t>actualizado hasta el 31 de julio de 2017</t>
  </si>
  <si>
    <t>EMPRESA PUBLICA MUNICIPAL DE TRANSPORTE TERRESTRE, TRANSITO Y SEGURIDAD VIAL DEL CANTON PORTOVIEJO - PORTOVIAL EP
POA 2017</t>
  </si>
  <si>
    <t>TOTAL CORRIENTE</t>
  </si>
  <si>
    <t>CENTRO DE GESTIÓN DE FLOTAS, INVENTARIO, CENSO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</si>
</sst>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.25"/>
      <name val="Microsoft Sans Serif"/>
      <family val="2"/>
    </font>
    <font>
      <b/>
      <sz val="8.25"/>
      <color indexed="8"/>
      <name val="Microsoft Sans Serif"/>
      <family val="2"/>
    </font>
    <font>
      <sz val="8.25"/>
      <color indexed="8"/>
      <name val="Arial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7" fillId="0" borderId="0"/>
    <xf numFmtId="0" fontId="40" fillId="0" borderId="0">
      <protection locked="0"/>
    </xf>
  </cellStyleXfs>
  <cellXfs count="496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/>
    <xf numFmtId="0" fontId="1" fillId="0" borderId="0" xfId="0" applyFont="1"/>
    <xf numFmtId="0" fontId="1" fillId="0" borderId="21" xfId="0" applyFont="1" applyBorder="1"/>
    <xf numFmtId="0" fontId="0" fillId="0" borderId="11" xfId="0" applyBorder="1"/>
    <xf numFmtId="0" fontId="4" fillId="0" borderId="11" xfId="0" applyFont="1" applyBorder="1" applyAlignment="1">
      <alignment vertical="center"/>
    </xf>
    <xf numFmtId="0" fontId="5" fillId="0" borderId="11" xfId="0" applyFont="1" applyBorder="1"/>
    <xf numFmtId="0" fontId="0" fillId="0" borderId="8" xfId="0" applyBorder="1"/>
    <xf numFmtId="0" fontId="0" fillId="0" borderId="0" xfId="0" applyBorder="1"/>
    <xf numFmtId="0" fontId="1" fillId="0" borderId="7" xfId="0" applyFont="1" applyBorder="1"/>
    <xf numFmtId="164" fontId="1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 applyBorder="1"/>
    <xf numFmtId="0" fontId="8" fillId="0" borderId="12" xfId="4" applyFont="1" applyFill="1" applyBorder="1" applyAlignment="1">
      <alignment vertical="center"/>
    </xf>
    <xf numFmtId="0" fontId="8" fillId="0" borderId="10" xfId="4" applyFont="1" applyFill="1" applyBorder="1" applyAlignment="1">
      <alignment vertical="center"/>
    </xf>
    <xf numFmtId="0" fontId="0" fillId="0" borderId="0" xfId="0" applyAlignment="1"/>
    <xf numFmtId="0" fontId="0" fillId="0" borderId="1" xfId="0" applyFont="1" applyFill="1" applyBorder="1" applyAlignment="1">
      <alignment vertical="top"/>
    </xf>
    <xf numFmtId="0" fontId="0" fillId="0" borderId="22" xfId="0" applyFont="1" applyFill="1" applyBorder="1" applyAlignment="1">
      <alignment vertical="top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2" borderId="2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164" fontId="9" fillId="0" borderId="6" xfId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1" applyFont="1" applyAlignment="1">
      <alignment vertical="center" wrapText="1"/>
    </xf>
    <xf numFmtId="14" fontId="9" fillId="0" borderId="6" xfId="0" applyNumberFormat="1" applyFont="1" applyBorder="1" applyAlignment="1">
      <alignment vertical="center" wrapText="1"/>
    </xf>
    <xf numFmtId="164" fontId="6" fillId="4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 wrapText="1"/>
    </xf>
    <xf numFmtId="164" fontId="9" fillId="0" borderId="22" xfId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vertical="center" wrapText="1"/>
    </xf>
    <xf numFmtId="164" fontId="11" fillId="0" borderId="1" xfId="1" applyFont="1" applyBorder="1" applyAlignment="1">
      <alignment vertical="center" wrapText="1"/>
    </xf>
    <xf numFmtId="164" fontId="12" fillId="0" borderId="1" xfId="1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/>
    <xf numFmtId="14" fontId="0" fillId="0" borderId="1" xfId="0" applyNumberFormat="1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0" fontId="9" fillId="0" borderId="24" xfId="0" applyFont="1" applyFill="1" applyBorder="1"/>
    <xf numFmtId="164" fontId="2" fillId="0" borderId="1" xfId="1" applyFont="1" applyBorder="1" applyAlignment="1">
      <alignment vertical="center" wrapText="1"/>
    </xf>
    <xf numFmtId="164" fontId="2" fillId="0" borderId="1" xfId="1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0" fillId="0" borderId="24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9" fillId="0" borderId="25" xfId="0" applyFont="1" applyBorder="1" applyAlignment="1">
      <alignment horizontal="center" vertical="center" wrapText="1"/>
    </xf>
    <xf numFmtId="0" fontId="21" fillId="0" borderId="24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164" fontId="0" fillId="0" borderId="1" xfId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9" fillId="0" borderId="2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165" fontId="0" fillId="0" borderId="0" xfId="0" applyNumberFormat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164" fontId="13" fillId="0" borderId="6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14" fontId="9" fillId="5" borderId="1" xfId="0" applyNumberFormat="1" applyFont="1" applyFill="1" applyBorder="1" applyAlignment="1">
      <alignment vertical="center" wrapText="1"/>
    </xf>
    <xf numFmtId="164" fontId="9" fillId="5" borderId="1" xfId="1" applyFont="1" applyFill="1" applyBorder="1" applyAlignment="1">
      <alignment vertical="center" wrapText="1"/>
    </xf>
    <xf numFmtId="164" fontId="9" fillId="5" borderId="6" xfId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14" fontId="9" fillId="5" borderId="6" xfId="0" applyNumberFormat="1" applyFont="1" applyFill="1" applyBorder="1" applyAlignment="1">
      <alignment vertical="center" wrapText="1"/>
    </xf>
    <xf numFmtId="164" fontId="9" fillId="5" borderId="9" xfId="1" applyFont="1" applyFill="1" applyBorder="1" applyAlignment="1">
      <alignment vertical="center" wrapText="1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1" applyFont="1" applyFill="1" applyBorder="1" applyAlignment="1">
      <alignment vertical="center" wrapText="1"/>
    </xf>
    <xf numFmtId="14" fontId="9" fillId="5" borderId="22" xfId="0" applyNumberFormat="1" applyFont="1" applyFill="1" applyBorder="1" applyAlignment="1">
      <alignment vertical="center" wrapText="1"/>
    </xf>
    <xf numFmtId="164" fontId="9" fillId="5" borderId="0" xfId="1" applyFont="1" applyFill="1" applyAlignment="1">
      <alignment vertical="center" wrapText="1"/>
    </xf>
    <xf numFmtId="164" fontId="9" fillId="5" borderId="22" xfId="1" applyFont="1" applyFill="1" applyBorder="1" applyAlignment="1">
      <alignment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2" fillId="5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4" fontId="22" fillId="0" borderId="1" xfId="1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14" fontId="22" fillId="5" borderId="1" xfId="0" applyNumberFormat="1" applyFont="1" applyFill="1" applyBorder="1" applyAlignment="1">
      <alignment vertical="center" wrapText="1"/>
    </xf>
    <xf numFmtId="164" fontId="22" fillId="5" borderId="1" xfId="1" applyFont="1" applyFill="1" applyBorder="1" applyAlignment="1">
      <alignment vertical="center" wrapText="1"/>
    </xf>
    <xf numFmtId="0" fontId="22" fillId="5" borderId="0" xfId="0" applyFont="1" applyFill="1" applyAlignment="1">
      <alignment vertical="center" wrapText="1"/>
    </xf>
    <xf numFmtId="14" fontId="22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164" fontId="22" fillId="0" borderId="0" xfId="1" applyFont="1" applyBorder="1" applyAlignment="1">
      <alignment vertical="center" wrapText="1"/>
    </xf>
    <xf numFmtId="164" fontId="22" fillId="0" borderId="0" xfId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164" fontId="16" fillId="0" borderId="1" xfId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0" xfId="1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14" fontId="16" fillId="0" borderId="0" xfId="0" applyNumberFormat="1" applyFont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 wrapText="1"/>
    </xf>
    <xf numFmtId="164" fontId="22" fillId="0" borderId="1" xfId="1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left" vertical="center" wrapText="1"/>
    </xf>
    <xf numFmtId="164" fontId="22" fillId="6" borderId="1" xfId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14" fontId="22" fillId="6" borderId="1" xfId="0" applyNumberFormat="1" applyFont="1" applyFill="1" applyBorder="1" applyAlignment="1">
      <alignment vertical="center" wrapText="1"/>
    </xf>
    <xf numFmtId="164" fontId="22" fillId="6" borderId="1" xfId="1" applyFont="1" applyFill="1" applyBorder="1" applyAlignment="1">
      <alignment vertical="center" wrapText="1"/>
    </xf>
    <xf numFmtId="0" fontId="22" fillId="6" borderId="0" xfId="0" applyFont="1" applyFill="1" applyAlignment="1">
      <alignment vertical="center" wrapText="1"/>
    </xf>
    <xf numFmtId="0" fontId="16" fillId="3" borderId="20" xfId="0" applyFont="1" applyFill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164" fontId="25" fillId="5" borderId="6" xfId="1" applyFont="1" applyFill="1" applyBorder="1" applyAlignment="1">
      <alignment horizontal="center" vertical="center" wrapText="1"/>
    </xf>
    <xf numFmtId="9" fontId="25" fillId="5" borderId="6" xfId="0" applyNumberFormat="1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vertical="center" wrapText="1"/>
    </xf>
    <xf numFmtId="0" fontId="26" fillId="0" borderId="6" xfId="0" applyFont="1" applyFill="1" applyBorder="1" applyAlignment="1">
      <alignment horizontal="center" vertical="center" wrapText="1"/>
    </xf>
    <xf numFmtId="14" fontId="26" fillId="0" borderId="6" xfId="0" applyNumberFormat="1" applyFont="1" applyBorder="1" applyAlignment="1">
      <alignment vertical="center" wrapText="1"/>
    </xf>
    <xf numFmtId="0" fontId="22" fillId="0" borderId="1" xfId="4" applyFont="1" applyBorder="1" applyAlignment="1">
      <alignment vertical="center" wrapText="1"/>
    </xf>
    <xf numFmtId="0" fontId="22" fillId="0" borderId="6" xfId="4" applyFont="1" applyBorder="1" applyAlignment="1">
      <alignment vertical="center" wrapText="1"/>
    </xf>
    <xf numFmtId="0" fontId="22" fillId="0" borderId="1" xfId="4" applyFont="1" applyFill="1" applyBorder="1" applyAlignment="1">
      <alignment vertical="center" wrapText="1"/>
    </xf>
    <xf numFmtId="0" fontId="22" fillId="0" borderId="20" xfId="4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164" fontId="28" fillId="8" borderId="1" xfId="1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left" vertical="center" wrapText="1"/>
    </xf>
    <xf numFmtId="14" fontId="28" fillId="8" borderId="1" xfId="0" applyNumberFormat="1" applyFont="1" applyFill="1" applyBorder="1" applyAlignment="1">
      <alignment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164" fontId="22" fillId="0" borderId="37" xfId="1" applyFont="1" applyFill="1" applyBorder="1" applyAlignment="1">
      <alignment horizontal="center" vertical="center" wrapText="1"/>
    </xf>
    <xf numFmtId="164" fontId="28" fillId="8" borderId="24" xfId="1" applyFont="1" applyFill="1" applyBorder="1" applyAlignment="1">
      <alignment vertical="center" wrapText="1"/>
    </xf>
    <xf numFmtId="164" fontId="28" fillId="8" borderId="37" xfId="1" applyFont="1" applyFill="1" applyBorder="1" applyAlignment="1">
      <alignment vertical="center" wrapText="1"/>
    </xf>
    <xf numFmtId="164" fontId="22" fillId="5" borderId="37" xfId="1" applyFont="1" applyFill="1" applyBorder="1" applyAlignment="1">
      <alignment horizontal="center" vertical="center" wrapText="1"/>
    </xf>
    <xf numFmtId="164" fontId="22" fillId="0" borderId="24" xfId="1" applyFont="1" applyBorder="1" applyAlignment="1">
      <alignment vertical="center" wrapText="1"/>
    </xf>
    <xf numFmtId="164" fontId="22" fillId="0" borderId="37" xfId="1" applyFont="1" applyBorder="1" applyAlignment="1">
      <alignment horizontal="center" vertical="center" wrapText="1"/>
    </xf>
    <xf numFmtId="164" fontId="22" fillId="6" borderId="24" xfId="1" applyFont="1" applyFill="1" applyBorder="1" applyAlignment="1">
      <alignment vertical="center" wrapText="1"/>
    </xf>
    <xf numFmtId="164" fontId="22" fillId="6" borderId="37" xfId="1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vertical="center" wrapText="1"/>
    </xf>
    <xf numFmtId="164" fontId="22" fillId="0" borderId="24" xfId="0" applyNumberFormat="1" applyFont="1" applyBorder="1" applyAlignment="1">
      <alignment vertical="center" wrapText="1"/>
    </xf>
    <xf numFmtId="165" fontId="22" fillId="0" borderId="24" xfId="2" applyFont="1" applyFill="1" applyBorder="1"/>
    <xf numFmtId="164" fontId="22" fillId="0" borderId="34" xfId="1" applyFont="1" applyBorder="1" applyAlignment="1">
      <alignment vertical="center" wrapText="1"/>
    </xf>
    <xf numFmtId="164" fontId="22" fillId="0" borderId="27" xfId="1" applyFont="1" applyBorder="1" applyAlignment="1">
      <alignment vertical="center" wrapText="1"/>
    </xf>
    <xf numFmtId="164" fontId="22" fillId="0" borderId="35" xfId="1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0" fontId="28" fillId="8" borderId="3" xfId="0" applyFont="1" applyFill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6" borderId="3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22" fillId="0" borderId="37" xfId="0" applyFont="1" applyFill="1" applyBorder="1" applyAlignment="1">
      <alignment vertical="center" wrapText="1"/>
    </xf>
    <xf numFmtId="0" fontId="28" fillId="8" borderId="24" xfId="0" applyFont="1" applyFill="1" applyBorder="1" applyAlignment="1">
      <alignment vertical="center" wrapText="1"/>
    </xf>
    <xf numFmtId="0" fontId="28" fillId="8" borderId="37" xfId="0" applyFont="1" applyFill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6" borderId="24" xfId="0" applyFont="1" applyFill="1" applyBorder="1" applyAlignment="1">
      <alignment vertical="center" wrapText="1"/>
    </xf>
    <xf numFmtId="0" fontId="22" fillId="6" borderId="37" xfId="0" applyFont="1" applyFill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28" fillId="8" borderId="2" xfId="0" applyFont="1" applyFill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 wrapText="1"/>
    </xf>
    <xf numFmtId="14" fontId="22" fillId="0" borderId="37" xfId="0" applyNumberFormat="1" applyFont="1" applyFill="1" applyBorder="1" applyAlignment="1">
      <alignment vertical="center" wrapText="1"/>
    </xf>
    <xf numFmtId="0" fontId="28" fillId="8" borderId="24" xfId="0" applyFont="1" applyFill="1" applyBorder="1" applyAlignment="1">
      <alignment horizontal="center" vertical="center" wrapText="1"/>
    </xf>
    <xf numFmtId="14" fontId="28" fillId="8" borderId="37" xfId="0" applyNumberFormat="1" applyFont="1" applyFill="1" applyBorder="1" applyAlignment="1">
      <alignment vertical="center" wrapText="1"/>
    </xf>
    <xf numFmtId="0" fontId="24" fillId="5" borderId="24" xfId="0" applyFont="1" applyFill="1" applyBorder="1" applyAlignment="1">
      <alignment horizontal="center" vertical="center" wrapText="1"/>
    </xf>
    <xf numFmtId="14" fontId="22" fillId="5" borderId="37" xfId="0" applyNumberFormat="1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 wrapText="1"/>
    </xf>
    <xf numFmtId="14" fontId="24" fillId="0" borderId="37" xfId="0" applyNumberFormat="1" applyFont="1" applyBorder="1" applyAlignment="1">
      <alignment vertical="center" wrapText="1"/>
    </xf>
    <xf numFmtId="0" fontId="24" fillId="6" borderId="24" xfId="0" applyFont="1" applyFill="1" applyBorder="1" applyAlignment="1">
      <alignment horizontal="center" vertical="center" wrapText="1"/>
    </xf>
    <xf numFmtId="14" fontId="22" fillId="6" borderId="37" xfId="0" applyNumberFormat="1" applyFont="1" applyFill="1" applyBorder="1" applyAlignment="1">
      <alignment vertical="center" wrapText="1"/>
    </xf>
    <xf numFmtId="0" fontId="24" fillId="0" borderId="34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vertical="center" wrapText="1"/>
    </xf>
    <xf numFmtId="14" fontId="24" fillId="0" borderId="35" xfId="0" applyNumberFormat="1" applyFont="1" applyBorder="1" applyAlignment="1">
      <alignment vertical="center" wrapText="1"/>
    </xf>
    <xf numFmtId="0" fontId="22" fillId="5" borderId="2" xfId="0" applyFont="1" applyFill="1" applyBorder="1" applyAlignment="1">
      <alignment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 wrapText="1"/>
    </xf>
    <xf numFmtId="0" fontId="22" fillId="5" borderId="24" xfId="0" applyFont="1" applyFill="1" applyBorder="1" applyAlignment="1">
      <alignment vertical="center" wrapText="1"/>
    </xf>
    <xf numFmtId="9" fontId="22" fillId="5" borderId="37" xfId="0" applyNumberFormat="1" applyFont="1" applyFill="1" applyBorder="1" applyAlignment="1">
      <alignment horizontal="center" vertical="center" wrapText="1"/>
    </xf>
    <xf numFmtId="9" fontId="22" fillId="6" borderId="37" xfId="0" applyNumberFormat="1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horizontal="left" vertical="center"/>
    </xf>
    <xf numFmtId="0" fontId="22" fillId="0" borderId="27" xfId="4" applyFont="1" applyBorder="1" applyAlignment="1">
      <alignment vertical="center" wrapText="1"/>
    </xf>
    <xf numFmtId="9" fontId="22" fillId="5" borderId="35" xfId="0" applyNumberFormat="1" applyFont="1" applyFill="1" applyBorder="1" applyAlignment="1">
      <alignment horizontal="center" vertical="center" wrapText="1"/>
    </xf>
    <xf numFmtId="0" fontId="22" fillId="5" borderId="24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164" fontId="28" fillId="8" borderId="11" xfId="1" applyFont="1" applyFill="1" applyBorder="1" applyAlignment="1">
      <alignment vertical="center" wrapText="1"/>
    </xf>
    <xf numFmtId="0" fontId="24" fillId="5" borderId="1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 wrapText="1"/>
    </xf>
    <xf numFmtId="164" fontId="22" fillId="0" borderId="37" xfId="1" applyFont="1" applyBorder="1" applyAlignment="1">
      <alignment vertical="center" wrapText="1"/>
    </xf>
    <xf numFmtId="164" fontId="22" fillId="6" borderId="37" xfId="1" applyFont="1" applyFill="1" applyBorder="1" applyAlignment="1">
      <alignment vertical="center" wrapText="1"/>
    </xf>
    <xf numFmtId="164" fontId="22" fillId="0" borderId="35" xfId="1" applyFont="1" applyBorder="1" applyAlignment="1">
      <alignment vertical="center" wrapText="1"/>
    </xf>
    <xf numFmtId="164" fontId="23" fillId="7" borderId="23" xfId="1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164" fontId="22" fillId="0" borderId="6" xfId="1" applyFont="1" applyFill="1" applyBorder="1" applyAlignment="1">
      <alignment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horizontal="center" vertical="center" wrapText="1"/>
    </xf>
    <xf numFmtId="14" fontId="22" fillId="0" borderId="6" xfId="0" applyNumberFormat="1" applyFont="1" applyFill="1" applyBorder="1" applyAlignment="1">
      <alignment vertical="center" wrapText="1"/>
    </xf>
    <xf numFmtId="14" fontId="22" fillId="0" borderId="32" xfId="0" applyNumberFormat="1" applyFont="1" applyFill="1" applyBorder="1" applyAlignment="1">
      <alignment vertical="center" wrapText="1"/>
    </xf>
    <xf numFmtId="164" fontId="22" fillId="0" borderId="32" xfId="1" applyFont="1" applyFill="1" applyBorder="1" applyAlignment="1">
      <alignment horizontal="center" vertical="center" wrapText="1"/>
    </xf>
    <xf numFmtId="14" fontId="22" fillId="0" borderId="14" xfId="0" applyNumberFormat="1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 wrapText="1"/>
    </xf>
    <xf numFmtId="0" fontId="23" fillId="9" borderId="38" xfId="0" applyFont="1" applyFill="1" applyBorder="1" applyAlignment="1">
      <alignment horizontal="center" vertical="center" wrapText="1"/>
    </xf>
    <xf numFmtId="0" fontId="23" fillId="9" borderId="27" xfId="0" applyFont="1" applyFill="1" applyBorder="1" applyAlignment="1">
      <alignment horizontal="center" vertical="center" wrapText="1"/>
    </xf>
    <xf numFmtId="0" fontId="23" fillId="9" borderId="39" xfId="0" applyFont="1" applyFill="1" applyBorder="1" applyAlignment="1">
      <alignment horizontal="center" vertical="center" wrapText="1"/>
    </xf>
    <xf numFmtId="0" fontId="23" fillId="9" borderId="34" xfId="0" applyFont="1" applyFill="1" applyBorder="1" applyAlignment="1">
      <alignment horizontal="center" vertical="center" wrapText="1"/>
    </xf>
    <xf numFmtId="164" fontId="23" fillId="9" borderId="27" xfId="1" applyFont="1" applyFill="1" applyBorder="1" applyAlignment="1">
      <alignment horizontal="center" vertical="center" wrapText="1"/>
    </xf>
    <xf numFmtId="0" fontId="23" fillId="9" borderId="35" xfId="0" applyFont="1" applyFill="1" applyBorder="1" applyAlignment="1">
      <alignment horizontal="center" vertical="center" wrapText="1"/>
    </xf>
    <xf numFmtId="0" fontId="23" fillId="9" borderId="36" xfId="0" applyFont="1" applyFill="1" applyBorder="1" applyAlignment="1">
      <alignment horizontal="center" vertical="center" wrapText="1"/>
    </xf>
    <xf numFmtId="14" fontId="23" fillId="9" borderId="27" xfId="0" applyNumberFormat="1" applyFont="1" applyFill="1" applyBorder="1" applyAlignment="1">
      <alignment horizontal="center" vertical="center" wrapText="1"/>
    </xf>
    <xf numFmtId="14" fontId="23" fillId="9" borderId="35" xfId="0" applyNumberFormat="1" applyFont="1" applyFill="1" applyBorder="1" applyAlignment="1">
      <alignment horizontal="center" vertical="center" wrapText="1"/>
    </xf>
    <xf numFmtId="164" fontId="23" fillId="9" borderId="35" xfId="1" applyFont="1" applyFill="1" applyBorder="1" applyAlignment="1">
      <alignment horizontal="center" vertical="center" wrapText="1"/>
    </xf>
    <xf numFmtId="164" fontId="23" fillId="9" borderId="34" xfId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8" fillId="8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64" fontId="28" fillId="8" borderId="2" xfId="1" applyFont="1" applyFill="1" applyBorder="1" applyAlignment="1">
      <alignment vertical="center" wrapText="1"/>
    </xf>
    <xf numFmtId="0" fontId="24" fillId="5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 wrapText="1"/>
    </xf>
    <xf numFmtId="0" fontId="24" fillId="6" borderId="2" xfId="0" applyFont="1" applyFill="1" applyBorder="1" applyAlignment="1">
      <alignment vertical="center"/>
    </xf>
    <xf numFmtId="0" fontId="22" fillId="0" borderId="39" xfId="0" applyFont="1" applyFill="1" applyBorder="1" applyAlignment="1">
      <alignment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164" fontId="33" fillId="9" borderId="34" xfId="1" applyFont="1" applyFill="1" applyBorder="1" applyAlignment="1">
      <alignment horizontal="center" vertical="center" wrapText="1"/>
    </xf>
    <xf numFmtId="164" fontId="32" fillId="0" borderId="24" xfId="1" applyFont="1" applyFill="1" applyBorder="1" applyAlignment="1">
      <alignment horizontal="center" vertical="center" wrapText="1"/>
    </xf>
    <xf numFmtId="164" fontId="33" fillId="8" borderId="24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164" fontId="32" fillId="5" borderId="24" xfId="1" applyFont="1" applyFill="1" applyBorder="1" applyAlignment="1">
      <alignment vertical="center" wrapText="1"/>
    </xf>
    <xf numFmtId="164" fontId="32" fillId="5" borderId="1" xfId="1" applyFont="1" applyFill="1" applyBorder="1" applyAlignment="1">
      <alignment vertical="center" wrapText="1"/>
    </xf>
    <xf numFmtId="164" fontId="32" fillId="0" borderId="24" xfId="1" applyFont="1" applyBorder="1" applyAlignment="1">
      <alignment vertical="center" wrapText="1"/>
    </xf>
    <xf numFmtId="164" fontId="32" fillId="0" borderId="1" xfId="1" applyFont="1" applyBorder="1" applyAlignment="1">
      <alignment vertical="center" wrapText="1"/>
    </xf>
    <xf numFmtId="165" fontId="32" fillId="0" borderId="24" xfId="2" applyFont="1" applyBorder="1" applyAlignment="1">
      <alignment vertical="center"/>
    </xf>
    <xf numFmtId="165" fontId="32" fillId="0" borderId="24" xfId="2" applyFont="1" applyFill="1" applyBorder="1"/>
    <xf numFmtId="164" fontId="32" fillId="0" borderId="0" xfId="1" applyFont="1" applyBorder="1" applyAlignment="1">
      <alignment vertical="center" wrapText="1"/>
    </xf>
    <xf numFmtId="164" fontId="35" fillId="0" borderId="0" xfId="1" applyFont="1" applyAlignment="1">
      <alignment vertical="center" wrapText="1"/>
    </xf>
    <xf numFmtId="164" fontId="29" fillId="8" borderId="1" xfId="1" applyFont="1" applyFill="1" applyBorder="1" applyAlignment="1">
      <alignment vertical="center" wrapText="1"/>
    </xf>
    <xf numFmtId="0" fontId="23" fillId="9" borderId="3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164" fontId="32" fillId="0" borderId="28" xfId="1" applyFont="1" applyFill="1" applyBorder="1" applyAlignment="1">
      <alignment horizontal="center" vertical="center" wrapText="1"/>
    </xf>
    <xf numFmtId="164" fontId="22" fillId="0" borderId="0" xfId="0" applyNumberFormat="1" applyFont="1" applyFill="1" applyAlignment="1">
      <alignment vertical="center" wrapText="1"/>
    </xf>
    <xf numFmtId="164" fontId="23" fillId="9" borderId="39" xfId="1" applyFont="1" applyFill="1" applyBorder="1" applyAlignment="1">
      <alignment horizontal="center" vertical="center" wrapText="1"/>
    </xf>
    <xf numFmtId="164" fontId="28" fillId="8" borderId="19" xfId="1" applyFont="1" applyFill="1" applyBorder="1" applyAlignment="1">
      <alignment vertical="center" wrapText="1"/>
    </xf>
    <xf numFmtId="164" fontId="23" fillId="7" borderId="14" xfId="1" applyFont="1" applyFill="1" applyBorder="1" applyAlignment="1">
      <alignment vertical="center" wrapText="1"/>
    </xf>
    <xf numFmtId="164" fontId="23" fillId="7" borderId="11" xfId="1" applyFont="1" applyFill="1" applyBorder="1" applyAlignment="1">
      <alignment vertical="center" wrapText="1"/>
    </xf>
    <xf numFmtId="164" fontId="22" fillId="0" borderId="0" xfId="0" applyNumberFormat="1" applyFont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164" fontId="21" fillId="0" borderId="28" xfId="1" applyFont="1" applyFill="1" applyBorder="1" applyAlignment="1">
      <alignment vertical="center" wrapText="1"/>
    </xf>
    <xf numFmtId="164" fontId="21" fillId="0" borderId="6" xfId="1" applyFont="1" applyFill="1" applyBorder="1" applyAlignment="1">
      <alignment vertical="center" wrapText="1"/>
    </xf>
    <xf numFmtId="164" fontId="21" fillId="0" borderId="24" xfId="1" applyFont="1" applyFill="1" applyBorder="1" applyAlignment="1">
      <alignment vertical="center" wrapText="1"/>
    </xf>
    <xf numFmtId="164" fontId="21" fillId="0" borderId="1" xfId="1" applyFont="1" applyFill="1" applyBorder="1" applyAlignment="1">
      <alignment vertical="center" wrapText="1"/>
    </xf>
    <xf numFmtId="164" fontId="21" fillId="0" borderId="2" xfId="1" applyFont="1" applyFill="1" applyBorder="1" applyAlignment="1">
      <alignment vertical="center" wrapText="1"/>
    </xf>
    <xf numFmtId="164" fontId="6" fillId="8" borderId="24" xfId="1" applyFont="1" applyFill="1" applyBorder="1" applyAlignment="1">
      <alignment vertical="center" wrapText="1"/>
    </xf>
    <xf numFmtId="164" fontId="6" fillId="8" borderId="1" xfId="1" applyFont="1" applyFill="1" applyBorder="1" applyAlignment="1">
      <alignment vertical="center" wrapText="1"/>
    </xf>
    <xf numFmtId="164" fontId="6" fillId="8" borderId="37" xfId="1" applyFont="1" applyFill="1" applyBorder="1" applyAlignment="1">
      <alignment vertical="center" wrapText="1"/>
    </xf>
    <xf numFmtId="164" fontId="21" fillId="5" borderId="24" xfId="1" applyFont="1" applyFill="1" applyBorder="1" applyAlignment="1">
      <alignment vertical="center" wrapText="1"/>
    </xf>
    <xf numFmtId="164" fontId="21" fillId="5" borderId="1" xfId="1" applyFont="1" applyFill="1" applyBorder="1" applyAlignment="1">
      <alignment vertical="center" wrapText="1"/>
    </xf>
    <xf numFmtId="164" fontId="21" fillId="0" borderId="24" xfId="1" applyFont="1" applyBorder="1" applyAlignment="1">
      <alignment vertical="center" wrapText="1"/>
    </xf>
    <xf numFmtId="164" fontId="21" fillId="0" borderId="1" xfId="1" applyFont="1" applyBorder="1" applyAlignment="1">
      <alignment vertical="center" wrapText="1"/>
    </xf>
    <xf numFmtId="164" fontId="21" fillId="0" borderId="37" xfId="1" applyFont="1" applyBorder="1" applyAlignment="1">
      <alignment vertical="center" wrapText="1"/>
    </xf>
    <xf numFmtId="164" fontId="22" fillId="0" borderId="2" xfId="1" applyFont="1" applyFill="1" applyBorder="1" applyAlignment="1">
      <alignment vertical="center" wrapText="1"/>
    </xf>
    <xf numFmtId="164" fontId="22" fillId="5" borderId="2" xfId="1" applyFont="1" applyFill="1" applyBorder="1" applyAlignment="1">
      <alignment vertical="center" wrapText="1"/>
    </xf>
    <xf numFmtId="164" fontId="22" fillId="0" borderId="2" xfId="1" applyFont="1" applyBorder="1" applyAlignment="1">
      <alignment vertical="center" wrapText="1"/>
    </xf>
    <xf numFmtId="164" fontId="22" fillId="6" borderId="2" xfId="1" applyFont="1" applyFill="1" applyBorder="1" applyAlignment="1">
      <alignment vertical="center" wrapText="1"/>
    </xf>
    <xf numFmtId="164" fontId="22" fillId="0" borderId="39" xfId="1" applyFont="1" applyBorder="1" applyAlignment="1">
      <alignment vertical="center" wrapText="1"/>
    </xf>
    <xf numFmtId="164" fontId="36" fillId="0" borderId="1" xfId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164" fontId="24" fillId="0" borderId="37" xfId="1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64" fontId="37" fillId="0" borderId="24" xfId="1" applyFont="1" applyBorder="1" applyAlignment="1">
      <alignment vertical="center" wrapText="1"/>
    </xf>
    <xf numFmtId="0" fontId="22" fillId="0" borderId="11" xfId="0" applyFont="1" applyFill="1" applyBorder="1" applyAlignment="1">
      <alignment vertical="center"/>
    </xf>
    <xf numFmtId="164" fontId="33" fillId="8" borderId="6" xfId="1" applyFont="1" applyFill="1" applyBorder="1" applyAlignment="1">
      <alignment vertical="center" wrapText="1"/>
    </xf>
    <xf numFmtId="164" fontId="33" fillId="8" borderId="1" xfId="1" applyFont="1" applyFill="1" applyBorder="1" applyAlignment="1">
      <alignment vertical="center" wrapText="1"/>
    </xf>
    <xf numFmtId="164" fontId="21" fillId="0" borderId="40" xfId="1" applyFont="1" applyBorder="1" applyAlignment="1">
      <alignment vertical="center" wrapText="1"/>
    </xf>
    <xf numFmtId="164" fontId="21" fillId="0" borderId="3" xfId="1" applyFont="1" applyBorder="1" applyAlignment="1">
      <alignment vertical="center" wrapText="1"/>
    </xf>
    <xf numFmtId="164" fontId="21" fillId="0" borderId="41" xfId="1" applyFont="1" applyBorder="1" applyAlignment="1">
      <alignment vertical="center" wrapText="1"/>
    </xf>
    <xf numFmtId="164" fontId="0" fillId="0" borderId="0" xfId="1" applyFont="1"/>
    <xf numFmtId="0" fontId="38" fillId="10" borderId="24" xfId="0" applyFont="1" applyFill="1" applyBorder="1"/>
    <xf numFmtId="0" fontId="38" fillId="10" borderId="1" xfId="0" applyFont="1" applyFill="1" applyBorder="1" applyAlignment="1"/>
    <xf numFmtId="165" fontId="39" fillId="10" borderId="1" xfId="2" applyFont="1" applyFill="1" applyBorder="1"/>
    <xf numFmtId="165" fontId="38" fillId="10" borderId="1" xfId="2" applyFont="1" applyFill="1" applyBorder="1"/>
    <xf numFmtId="0" fontId="38" fillId="1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65" fontId="9" fillId="0" borderId="1" xfId="2" applyFont="1" applyFill="1" applyBorder="1"/>
    <xf numFmtId="165" fontId="9" fillId="0" borderId="1" xfId="2" applyFont="1" applyBorder="1"/>
    <xf numFmtId="0" fontId="38" fillId="0" borderId="24" xfId="0" applyFont="1" applyBorder="1"/>
    <xf numFmtId="0" fontId="38" fillId="0" borderId="1" xfId="0" applyFont="1" applyBorder="1" applyAlignment="1">
      <alignment wrapText="1"/>
    </xf>
    <xf numFmtId="165" fontId="38" fillId="0" borderId="1" xfId="2" applyFont="1" applyBorder="1"/>
    <xf numFmtId="0" fontId="20" fillId="0" borderId="24" xfId="0" applyFont="1" applyBorder="1" applyAlignment="1">
      <alignment horizontal="right"/>
    </xf>
    <xf numFmtId="165" fontId="20" fillId="0" borderId="1" xfId="2" applyFont="1" applyFill="1" applyBorder="1"/>
    <xf numFmtId="0" fontId="41" fillId="0" borderId="1" xfId="5" applyFont="1" applyBorder="1" applyAlignment="1" applyProtection="1">
      <alignment vertical="top"/>
    </xf>
    <xf numFmtId="0" fontId="42" fillId="0" borderId="1" xfId="5" applyFont="1" applyBorder="1" applyAlignment="1" applyProtection="1">
      <alignment vertical="top"/>
    </xf>
    <xf numFmtId="165" fontId="0" fillId="0" borderId="0" xfId="0" applyNumberFormat="1"/>
    <xf numFmtId="164" fontId="0" fillId="0" borderId="0" xfId="0" applyNumberFormat="1"/>
    <xf numFmtId="0" fontId="0" fillId="11" borderId="0" xfId="0" applyFill="1"/>
    <xf numFmtId="164" fontId="13" fillId="11" borderId="0" xfId="1" applyFont="1" applyFill="1"/>
    <xf numFmtId="164" fontId="0" fillId="11" borderId="0" xfId="0" applyNumberFormat="1" applyFill="1"/>
    <xf numFmtId="165" fontId="39" fillId="11" borderId="1" xfId="2" applyFont="1" applyFill="1" applyBorder="1" applyAlignment="1">
      <alignment horizontal="center"/>
    </xf>
    <xf numFmtId="165" fontId="38" fillId="11" borderId="1" xfId="2" applyFont="1" applyFill="1" applyBorder="1"/>
    <xf numFmtId="165" fontId="9" fillId="11" borderId="1" xfId="2" applyFont="1" applyFill="1" applyBorder="1"/>
    <xf numFmtId="165" fontId="44" fillId="11" borderId="1" xfId="2" applyFont="1" applyFill="1" applyBorder="1"/>
    <xf numFmtId="165" fontId="20" fillId="11" borderId="1" xfId="2" applyFont="1" applyFill="1" applyBorder="1"/>
    <xf numFmtId="165" fontId="43" fillId="11" borderId="1" xfId="2" applyFont="1" applyFill="1" applyBorder="1"/>
    <xf numFmtId="165" fontId="39" fillId="11" borderId="1" xfId="2" applyFont="1" applyFill="1" applyBorder="1"/>
    <xf numFmtId="164" fontId="44" fillId="11" borderId="12" xfId="1" applyFont="1" applyFill="1" applyBorder="1"/>
    <xf numFmtId="164" fontId="44" fillId="11" borderId="10" xfId="1" applyFont="1" applyFill="1" applyBorder="1"/>
    <xf numFmtId="165" fontId="17" fillId="11" borderId="0" xfId="0" applyNumberFormat="1" applyFont="1" applyFill="1"/>
    <xf numFmtId="0" fontId="13" fillId="11" borderId="0" xfId="0" applyFont="1" applyFill="1"/>
    <xf numFmtId="165" fontId="13" fillId="11" borderId="0" xfId="0" applyNumberFormat="1" applyFont="1" applyFill="1"/>
    <xf numFmtId="164" fontId="1" fillId="11" borderId="0" xfId="1" applyFont="1" applyFill="1"/>
    <xf numFmtId="164" fontId="17" fillId="11" borderId="0" xfId="1" applyFont="1" applyFill="1"/>
    <xf numFmtId="164" fontId="0" fillId="11" borderId="0" xfId="1" applyFont="1" applyFill="1"/>
    <xf numFmtId="164" fontId="0" fillId="0" borderId="0" xfId="1" applyFont="1" applyAlignment="1">
      <alignment horizontal="center"/>
    </xf>
    <xf numFmtId="165" fontId="36" fillId="0" borderId="0" xfId="0" applyNumberFormat="1" applyFont="1"/>
    <xf numFmtId="164" fontId="36" fillId="0" borderId="0" xfId="1" applyFont="1"/>
    <xf numFmtId="0" fontId="1" fillId="0" borderId="0" xfId="0" applyFont="1" applyAlignment="1">
      <alignment horizontal="center"/>
    </xf>
    <xf numFmtId="164" fontId="1" fillId="0" borderId="0" xfId="1" applyFont="1" applyAlignment="1">
      <alignment horizontal="center"/>
    </xf>
    <xf numFmtId="0" fontId="1" fillId="11" borderId="0" xfId="0" applyFont="1" applyFill="1" applyAlignment="1">
      <alignment horizontal="center"/>
    </xf>
    <xf numFmtId="164" fontId="1" fillId="0" borderId="0" xfId="1" applyFont="1"/>
    <xf numFmtId="165" fontId="1" fillId="0" borderId="0" xfId="0" applyNumberFormat="1" applyFont="1"/>
    <xf numFmtId="165" fontId="9" fillId="0" borderId="1" xfId="2" applyFont="1" applyBorder="1" applyAlignment="1">
      <alignment vertical="center"/>
    </xf>
    <xf numFmtId="165" fontId="9" fillId="11" borderId="1" xfId="2" applyFont="1" applyFill="1" applyBorder="1" applyAlignment="1">
      <alignment vertical="center"/>
    </xf>
    <xf numFmtId="0" fontId="38" fillId="10" borderId="24" xfId="0" applyFont="1" applyFill="1" applyBorder="1" applyAlignment="1">
      <alignment vertical="center"/>
    </xf>
    <xf numFmtId="0" fontId="38" fillId="10" borderId="1" xfId="0" applyFont="1" applyFill="1" applyBorder="1" applyAlignment="1">
      <alignment vertical="center" wrapText="1"/>
    </xf>
    <xf numFmtId="165" fontId="38" fillId="10" borderId="1" xfId="2" applyFont="1" applyFill="1" applyBorder="1" applyAlignment="1">
      <alignment vertical="center"/>
    </xf>
    <xf numFmtId="165" fontId="38" fillId="11" borderId="1" xfId="2" applyFont="1" applyFill="1" applyBorder="1" applyAlignment="1">
      <alignment vertical="center"/>
    </xf>
    <xf numFmtId="165" fontId="9" fillId="0" borderId="0" xfId="2" applyFont="1" applyBorder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5" fontId="38" fillId="0" borderId="0" xfId="2" applyFont="1" applyFill="1" applyBorder="1"/>
    <xf numFmtId="165" fontId="20" fillId="0" borderId="0" xfId="2" applyFont="1" applyFill="1" applyBorder="1"/>
    <xf numFmtId="164" fontId="44" fillId="11" borderId="1" xfId="1" applyFont="1" applyFill="1" applyBorder="1"/>
    <xf numFmtId="164" fontId="38" fillId="11" borderId="0" xfId="0" applyNumberFormat="1" applyFont="1" applyFill="1"/>
    <xf numFmtId="165" fontId="0" fillId="11" borderId="0" xfId="0" applyNumberFormat="1" applyFill="1"/>
    <xf numFmtId="164" fontId="22" fillId="6" borderId="5" xfId="1" applyFont="1" applyFill="1" applyBorder="1" applyAlignment="1">
      <alignment vertical="center" wrapText="1"/>
    </xf>
    <xf numFmtId="165" fontId="38" fillId="0" borderId="1" xfId="2" applyFont="1" applyFill="1" applyBorder="1"/>
    <xf numFmtId="165" fontId="38" fillId="0" borderId="1" xfId="2" applyFont="1" applyBorder="1" applyAlignment="1">
      <alignment vertical="center"/>
    </xf>
    <xf numFmtId="165" fontId="39" fillId="0" borderId="1" xfId="2" applyFont="1" applyFill="1" applyBorder="1"/>
    <xf numFmtId="164" fontId="1" fillId="0" borderId="0" xfId="0" applyNumberFormat="1" applyFont="1"/>
    <xf numFmtId="0" fontId="9" fillId="6" borderId="1" xfId="0" applyFont="1" applyFill="1" applyBorder="1" applyAlignment="1">
      <alignment wrapText="1"/>
    </xf>
    <xf numFmtId="0" fontId="9" fillId="13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wrapText="1"/>
    </xf>
    <xf numFmtId="164" fontId="27" fillId="8" borderId="1" xfId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4" fillId="0" borderId="40" xfId="0" applyFont="1" applyFill="1" applyBorder="1" applyAlignment="1">
      <alignment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left" vertical="center" wrapText="1"/>
    </xf>
    <xf numFmtId="164" fontId="28" fillId="14" borderId="11" xfId="1" applyFont="1" applyFill="1" applyBorder="1" applyAlignment="1">
      <alignment vertical="center" wrapText="1"/>
    </xf>
    <xf numFmtId="164" fontId="6" fillId="14" borderId="24" xfId="1" applyFont="1" applyFill="1" applyBorder="1" applyAlignment="1">
      <alignment vertical="center" wrapText="1"/>
    </xf>
    <xf numFmtId="0" fontId="27" fillId="14" borderId="0" xfId="0" applyFont="1" applyFill="1" applyAlignment="1">
      <alignment vertical="center" wrapText="1"/>
    </xf>
    <xf numFmtId="164" fontId="16" fillId="0" borderId="0" xfId="0" applyNumberFormat="1" applyFont="1" applyAlignment="1">
      <alignment vertical="center" wrapText="1"/>
    </xf>
    <xf numFmtId="164" fontId="45" fillId="6" borderId="24" xfId="1" applyFont="1" applyFill="1" applyBorder="1" applyAlignment="1">
      <alignment vertical="center" wrapText="1"/>
    </xf>
    <xf numFmtId="164" fontId="46" fillId="8" borderId="2" xfId="1" applyFont="1" applyFill="1" applyBorder="1" applyAlignment="1">
      <alignment vertical="center" wrapText="1"/>
    </xf>
    <xf numFmtId="164" fontId="47" fillId="6" borderId="2" xfId="1" applyFont="1" applyFill="1" applyBorder="1" applyAlignment="1">
      <alignment vertical="center" wrapText="1"/>
    </xf>
    <xf numFmtId="164" fontId="46" fillId="14" borderId="1" xfId="0" applyNumberFormat="1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3" fillId="9" borderId="30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center" vertical="center" wrapText="1"/>
    </xf>
    <xf numFmtId="164" fontId="23" fillId="9" borderId="30" xfId="1" applyFont="1" applyFill="1" applyBorder="1" applyAlignment="1">
      <alignment horizontal="center" vertical="center" wrapText="1"/>
    </xf>
    <xf numFmtId="164" fontId="23" fillId="9" borderId="25" xfId="1" applyFont="1" applyFill="1" applyBorder="1" applyAlignment="1">
      <alignment horizontal="center" vertical="center" wrapText="1"/>
    </xf>
    <xf numFmtId="164" fontId="23" fillId="9" borderId="38" xfId="1" applyFont="1" applyFill="1" applyBorder="1" applyAlignment="1">
      <alignment horizontal="center" vertical="center" wrapText="1"/>
    </xf>
    <xf numFmtId="164" fontId="23" fillId="4" borderId="7" xfId="1" applyFont="1" applyFill="1" applyBorder="1" applyAlignment="1">
      <alignment horizontal="center" vertical="center" wrapText="1"/>
    </xf>
    <xf numFmtId="164" fontId="23" fillId="4" borderId="8" xfId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3" fillId="9" borderId="31" xfId="0" applyFont="1" applyFill="1" applyBorder="1" applyAlignment="1">
      <alignment horizontal="center" vertical="center" wrapText="1"/>
    </xf>
    <xf numFmtId="164" fontId="23" fillId="9" borderId="31" xfId="1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9" borderId="34" xfId="0" applyFont="1" applyFill="1" applyBorder="1" applyAlignment="1">
      <alignment horizontal="center" vertical="center" wrapText="1"/>
    </xf>
    <xf numFmtId="0" fontId="29" fillId="9" borderId="30" xfId="0" applyFont="1" applyFill="1" applyBorder="1" applyAlignment="1">
      <alignment horizontal="center" vertical="center" wrapText="1"/>
    </xf>
    <xf numFmtId="0" fontId="29" fillId="9" borderId="25" xfId="0" applyFont="1" applyFill="1" applyBorder="1" applyAlignment="1">
      <alignment horizontal="center" vertical="center" wrapText="1"/>
    </xf>
    <xf numFmtId="0" fontId="29" fillId="9" borderId="31" xfId="0" applyFont="1" applyFill="1" applyBorder="1" applyAlignment="1">
      <alignment horizontal="center" vertical="center" wrapText="1"/>
    </xf>
    <xf numFmtId="0" fontId="23" fillId="9" borderId="33" xfId="0" applyFont="1" applyFill="1" applyBorder="1" applyAlignment="1">
      <alignment horizontal="center" vertical="center" wrapText="1"/>
    </xf>
    <xf numFmtId="0" fontId="23" fillId="9" borderId="3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164" fontId="6" fillId="4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6" fillId="4" borderId="20" xfId="1" applyFont="1" applyFill="1" applyBorder="1" applyAlignment="1">
      <alignment horizontal="center" vertical="center" wrapText="1"/>
    </xf>
    <xf numFmtId="164" fontId="6" fillId="4" borderId="6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12" borderId="0" xfId="0" applyFont="1" applyFill="1" applyAlignment="1">
      <alignment horizontal="center"/>
    </xf>
  </cellXfs>
  <cellStyles count="6">
    <cellStyle name="Millares" xfId="1" builtinId="3"/>
    <cellStyle name="Millares 2" xfId="2"/>
    <cellStyle name="Moneda 2" xfId="3"/>
    <cellStyle name="Normal" xfId="0" builtinId="0"/>
    <cellStyle name="Normal 2" xfId="4"/>
    <cellStyle name="Normal 3" xf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BFB3B"/>
      <color rgb="FFEFF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14</xdr:row>
      <xdr:rowOff>40822</xdr:rowOff>
    </xdr:from>
    <xdr:to>
      <xdr:col>3</xdr:col>
      <xdr:colOff>170541</xdr:colOff>
      <xdr:row>17</xdr:row>
      <xdr:rowOff>231321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" y="312965"/>
          <a:ext cx="3633106" cy="1061356"/>
        </a:xfrm>
        <a:prstGeom prst="rect">
          <a:avLst/>
        </a:prstGeom>
      </xdr:spPr>
    </xdr:pic>
    <xdr:clientData/>
  </xdr:twoCellAnchor>
  <xdr:twoCellAnchor editAs="oneCell">
    <xdr:from>
      <xdr:col>40</xdr:col>
      <xdr:colOff>1047750</xdr:colOff>
      <xdr:row>1</xdr:row>
      <xdr:rowOff>40822</xdr:rowOff>
    </xdr:from>
    <xdr:to>
      <xdr:col>43</xdr:col>
      <xdr:colOff>555626</xdr:colOff>
      <xdr:row>18</xdr:row>
      <xdr:rowOff>190500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0" y="183697"/>
          <a:ext cx="3333750" cy="1340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rcia/AppData/Local/Temp/Users/SMART1~1/AppData/Local/Temp/Copia%20de%20POA%20201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"/>
      <sheetName val="POA 2017"/>
      <sheetName val="1A"/>
      <sheetName val="1B"/>
      <sheetName val="1C"/>
      <sheetName val="1D"/>
      <sheetName val="1E"/>
      <sheetName val="2A"/>
      <sheetName val="2B"/>
      <sheetName val="2C"/>
      <sheetName val="2D"/>
      <sheetName val="DATOS 1"/>
      <sheetName val="DATO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>
        <row r="3">
          <cell r="B3" t="str">
            <v>DGD. TERRITORIAL</v>
          </cell>
          <cell r="C3" t="str">
            <v>D. OBRAS PÚBLICAS</v>
          </cell>
        </row>
        <row r="4">
          <cell r="B4" t="str">
            <v>DGD. TERRITORIAL</v>
          </cell>
          <cell r="C4" t="str">
            <v>D. ESTUDIOS Y PROYECTOS TECNICOS</v>
          </cell>
        </row>
        <row r="5">
          <cell r="B5" t="str">
            <v>DGD. TERRITORIAL</v>
          </cell>
          <cell r="C5" t="str">
            <v>D. CONTROL Y GESTIÓN TERRITORIAL</v>
          </cell>
        </row>
        <row r="6">
          <cell r="B6" t="str">
            <v>DGD. TERRITORIAL</v>
          </cell>
          <cell r="C6" t="str">
            <v>D. RIESGO Y GESTIÓN AMBIENTAL</v>
          </cell>
        </row>
        <row r="7">
          <cell r="B7" t="str">
            <v>DGD. TERRITORIAL</v>
          </cell>
          <cell r="C7" t="str">
            <v>D. HIGIENE Y ASEO</v>
          </cell>
        </row>
        <row r="8">
          <cell r="B8" t="str">
            <v>DGD. TERRITORIAL</v>
          </cell>
          <cell r="C8" t="str">
            <v>D. AVALUOS Y CATASTRO</v>
          </cell>
        </row>
        <row r="9">
          <cell r="B9" t="str">
            <v>DGD. TERRITORIAL</v>
          </cell>
          <cell r="C9" t="str">
            <v>D. COMISARÍAS</v>
          </cell>
        </row>
        <row r="10">
          <cell r="B10" t="str">
            <v>DGD. TERRITORIAL</v>
          </cell>
          <cell r="C10" t="str">
            <v>D. SEGURIDAD Y POLICÍA MUNICIPAL</v>
          </cell>
        </row>
        <row r="11">
          <cell r="B11" t="str">
            <v>DGD. ECONOMICO</v>
          </cell>
          <cell r="C11" t="str">
            <v>D. DESARROLLO ECONOMICO Y PRODUCTIVO</v>
          </cell>
        </row>
        <row r="12">
          <cell r="B12" t="str">
            <v>DGD. ECONOMICO</v>
          </cell>
          <cell r="C12" t="str">
            <v>D. DESARROLLO TURISTICO</v>
          </cell>
        </row>
        <row r="13">
          <cell r="B13" t="str">
            <v>DGD. ECONOMICO</v>
          </cell>
          <cell r="C13" t="str">
            <v>D. ATRACCIÓN DE INVERSIONES Y COOPERACIÓN INTERNACIONAL</v>
          </cell>
        </row>
        <row r="14">
          <cell r="B14" t="str">
            <v>DGD. ECONOMICO</v>
          </cell>
          <cell r="C14" t="str">
            <v>D. DESARROLLO CULTURAL</v>
          </cell>
        </row>
        <row r="15">
          <cell r="B15" t="str">
            <v>DGD. SOCIAL</v>
          </cell>
          <cell r="C15" t="str">
            <v>D. DESARROLLO DEPORTIVO</v>
          </cell>
        </row>
        <row r="16">
          <cell r="B16" t="str">
            <v>DGD. SOCIAL</v>
          </cell>
          <cell r="C16" t="str">
            <v>D. EDUCACIÓN COMPLEMENTARIA</v>
          </cell>
        </row>
        <row r="17">
          <cell r="B17" t="str">
            <v>DGD. SOCIAL</v>
          </cell>
          <cell r="C17" t="str">
            <v>D. INCLUSIÓN SOCIAL Y SALUD</v>
          </cell>
        </row>
        <row r="18">
          <cell r="B18" t="str">
            <v>DCD. INSTITUCIONAL</v>
          </cell>
          <cell r="C18" t="str">
            <v>D. ADMINISTRATIVO</v>
          </cell>
        </row>
        <row r="19">
          <cell r="B19" t="str">
            <v>DCD. INSTITUCIONAL</v>
          </cell>
          <cell r="C19" t="str">
            <v>D. DESARROLLO HUMANO</v>
          </cell>
        </row>
        <row r="20">
          <cell r="B20" t="str">
            <v>DCD. INSTITUCIONAL</v>
          </cell>
          <cell r="C20" t="str">
            <v>D. DESARROLLO INFORMATICO</v>
          </cell>
        </row>
        <row r="21">
          <cell r="B21" t="str">
            <v>DCD. INSTITUCIONAL</v>
          </cell>
          <cell r="C21" t="str">
            <v>D. FINANCIERA</v>
          </cell>
        </row>
        <row r="22">
          <cell r="B22" t="str">
            <v>DCD. INSTITUCIONAL</v>
          </cell>
          <cell r="C22" t="str">
            <v>D. COMPRAS PUBLICAS</v>
          </cell>
        </row>
        <row r="23">
          <cell r="B23" t="str">
            <v>D. APOYO</v>
          </cell>
          <cell r="C23" t="str">
            <v>D. VINCULACIÓN Y PODER POPULAR</v>
          </cell>
        </row>
        <row r="24">
          <cell r="B24" t="str">
            <v>D. APOYO</v>
          </cell>
          <cell r="C24" t="str">
            <v>D. COMUNICACIÓN</v>
          </cell>
        </row>
        <row r="25">
          <cell r="B25" t="str">
            <v>D. APOYO</v>
          </cell>
          <cell r="C25" t="str">
            <v>PROCURADURIA SINDICA</v>
          </cell>
        </row>
        <row r="26">
          <cell r="B26" t="str">
            <v>D. APOYO</v>
          </cell>
          <cell r="C26" t="str">
            <v>SECRETARÍA GENERAL</v>
          </cell>
        </row>
        <row r="27">
          <cell r="B27" t="str">
            <v>D. APOYO</v>
          </cell>
          <cell r="C27" t="str">
            <v>SECRETARÍA DE DESARROLLO ESTRATEGICO</v>
          </cell>
        </row>
        <row r="28">
          <cell r="B28" t="str">
            <v>DGD. PLANIFICACIÓN</v>
          </cell>
          <cell r="C28" t="str">
            <v>D. PROSPECTIVA Y PROGRAMACIÓN CANTONAL</v>
          </cell>
        </row>
        <row r="29">
          <cell r="B29" t="str">
            <v>DGD. PLANIFICACIÓN</v>
          </cell>
          <cell r="C29" t="str">
            <v>D. CONTROL DE GESTIÓN</v>
          </cell>
        </row>
        <row r="30">
          <cell r="B30" t="str">
            <v>DGD. PLANIFICACIÓN</v>
          </cell>
          <cell r="C30" t="str">
            <v>D. INFORMACIÓN Y ESTADISTICA CANTONAL</v>
          </cell>
        </row>
        <row r="31">
          <cell r="B31" t="str">
            <v>EMPRESAS Y ENTIDADES ADSCRITAS</v>
          </cell>
          <cell r="C31" t="str">
            <v>CONSEJO CANTONAL DE PROTECCIÓN DE DERECHOS</v>
          </cell>
        </row>
        <row r="32">
          <cell r="B32" t="str">
            <v>EMPRESAS Y ENTIDADES ADSCRITAS</v>
          </cell>
          <cell r="C32" t="str">
            <v>EPM. PORTOCOMERCIO</v>
          </cell>
        </row>
        <row r="33">
          <cell r="B33" t="str">
            <v>EMPRESAS Y ENTIDADES ADSCRITAS</v>
          </cell>
          <cell r="C33" t="str">
            <v>EPM. PORTOMERCADOS</v>
          </cell>
        </row>
        <row r="34">
          <cell r="B34" t="str">
            <v>EMPRESAS Y ENTIDADES ADSCRITAS</v>
          </cell>
          <cell r="C34" t="str">
            <v>EPM. PORTOPARQUES</v>
          </cell>
        </row>
        <row r="35">
          <cell r="B35" t="str">
            <v>EMPRESAS Y ENTIDADES ADSCRITAS</v>
          </cell>
          <cell r="C35" t="str">
            <v>EPM. PORTOVIVIENDA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1"/>
  <sheetViews>
    <sheetView zoomScale="130" zoomScaleNormal="130" workbookViewId="0">
      <selection activeCell="B13" sqref="B13"/>
    </sheetView>
  </sheetViews>
  <sheetFormatPr baseColWidth="10" defaultColWidth="11.42578125" defaultRowHeight="15" x14ac:dyDescent="0.25"/>
  <cols>
    <col min="1" max="1" width="14" style="4" customWidth="1"/>
    <col min="2" max="2" width="42.7109375" style="4" bestFit="1" customWidth="1"/>
    <col min="3" max="3" width="14" style="5" bestFit="1" customWidth="1"/>
    <col min="4" max="16384" width="11.42578125" style="4"/>
  </cols>
  <sheetData>
    <row r="1" spans="1:3" ht="48" customHeight="1" thickBot="1" x14ac:dyDescent="0.3">
      <c r="A1" s="446" t="s">
        <v>73</v>
      </c>
      <c r="B1" s="447"/>
      <c r="C1" s="448"/>
    </row>
    <row r="2" spans="1:3" ht="15.75" thickBot="1" x14ac:dyDescent="0.3">
      <c r="A2" s="12" t="s">
        <v>72</v>
      </c>
      <c r="B2" s="12" t="s">
        <v>71</v>
      </c>
      <c r="C2" s="12" t="s">
        <v>70</v>
      </c>
    </row>
    <row r="3" spans="1:3" x14ac:dyDescent="0.25">
      <c r="A3" s="441" t="s">
        <v>69</v>
      </c>
      <c r="B3" s="11" t="s">
        <v>68</v>
      </c>
      <c r="C3" s="10" t="s">
        <v>67</v>
      </c>
    </row>
    <row r="4" spans="1:3" x14ac:dyDescent="0.25">
      <c r="A4" s="442"/>
      <c r="B4" s="9" t="s">
        <v>66</v>
      </c>
      <c r="C4" s="8" t="s">
        <v>65</v>
      </c>
    </row>
    <row r="5" spans="1:3" x14ac:dyDescent="0.25">
      <c r="A5" s="442"/>
      <c r="B5" s="9" t="s">
        <v>64</v>
      </c>
      <c r="C5" s="8" t="s">
        <v>63</v>
      </c>
    </row>
    <row r="6" spans="1:3" x14ac:dyDescent="0.25">
      <c r="A6" s="442"/>
      <c r="B6" s="9" t="s">
        <v>62</v>
      </c>
      <c r="C6" s="8" t="s">
        <v>61</v>
      </c>
    </row>
    <row r="7" spans="1:3" x14ac:dyDescent="0.25">
      <c r="A7" s="442"/>
      <c r="B7" s="9" t="s">
        <v>60</v>
      </c>
      <c r="C7" s="8" t="s">
        <v>59</v>
      </c>
    </row>
    <row r="8" spans="1:3" s="31" customFormat="1" x14ac:dyDescent="0.25">
      <c r="A8" s="443" t="s">
        <v>58</v>
      </c>
      <c r="B8" s="29" t="s">
        <v>57</v>
      </c>
      <c r="C8" s="30" t="s">
        <v>56</v>
      </c>
    </row>
    <row r="9" spans="1:3" s="31" customFormat="1" x14ac:dyDescent="0.25">
      <c r="A9" s="444"/>
      <c r="B9" s="29" t="s">
        <v>55</v>
      </c>
      <c r="C9" s="30" t="s">
        <v>54</v>
      </c>
    </row>
    <row r="10" spans="1:3" s="31" customFormat="1" x14ac:dyDescent="0.25">
      <c r="A10" s="444"/>
      <c r="B10" s="29" t="s">
        <v>52</v>
      </c>
      <c r="C10" s="30" t="s">
        <v>53</v>
      </c>
    </row>
    <row r="11" spans="1:3" ht="15.75" thickBot="1" x14ac:dyDescent="0.3">
      <c r="A11" s="445"/>
      <c r="B11" s="7" t="s">
        <v>50</v>
      </c>
      <c r="C11" s="6" t="s">
        <v>51</v>
      </c>
    </row>
  </sheetData>
  <mergeCells count="3">
    <mergeCell ref="A3:A7"/>
    <mergeCell ref="A8:A11"/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85" zoomScaleNormal="85" workbookViewId="0">
      <selection activeCell="C34" sqref="C34"/>
    </sheetView>
  </sheetViews>
  <sheetFormatPr baseColWidth="10" defaultColWidth="11.42578125" defaultRowHeight="15" x14ac:dyDescent="0.25"/>
  <cols>
    <col min="1" max="1" width="4.28515625" style="54" bestFit="1" customWidth="1"/>
    <col min="2" max="2" width="28.42578125" style="55" bestFit="1" customWidth="1"/>
    <col min="3" max="3" width="27.85546875" style="54" bestFit="1" customWidth="1"/>
    <col min="4" max="4" width="33.42578125" style="54" bestFit="1" customWidth="1"/>
    <col min="5" max="5" width="22.28515625" style="1" customWidth="1"/>
    <col min="6" max="12" width="11.42578125" style="1"/>
    <col min="13" max="13" width="34.5703125" style="1" customWidth="1"/>
    <col min="14" max="16384" width="11.42578125" style="1"/>
  </cols>
  <sheetData>
    <row r="1" spans="1:14" ht="30" customHeight="1" x14ac:dyDescent="0.25">
      <c r="A1" s="472" t="s">
        <v>213</v>
      </c>
      <c r="B1" s="472"/>
      <c r="C1" s="473" t="s">
        <v>126</v>
      </c>
      <c r="D1" s="473"/>
      <c r="E1" s="473"/>
      <c r="F1" s="473"/>
      <c r="G1" s="473"/>
      <c r="H1" s="473"/>
      <c r="I1" s="473"/>
      <c r="J1" s="473"/>
      <c r="K1" s="473"/>
      <c r="L1" s="473"/>
      <c r="M1" s="473"/>
    </row>
    <row r="2" spans="1:14" ht="15" customHeight="1" x14ac:dyDescent="0.25">
      <c r="A2" s="42"/>
      <c r="B2" s="2" t="s">
        <v>242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</row>
    <row r="3" spans="1:14" ht="15" customHeight="1" x14ac:dyDescent="0.25">
      <c r="A3" s="43"/>
      <c r="B3" s="2" t="s">
        <v>214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</row>
    <row r="4" spans="1:14" ht="15" customHeight="1" x14ac:dyDescent="0.25">
      <c r="A4" s="44"/>
      <c r="B4" s="2" t="s">
        <v>243</v>
      </c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</row>
    <row r="5" spans="1:14" s="3" customFormat="1" ht="30" customHeight="1" x14ac:dyDescent="0.25">
      <c r="A5" s="474" t="s">
        <v>0</v>
      </c>
      <c r="B5" s="474" t="s">
        <v>1</v>
      </c>
      <c r="C5" s="474"/>
      <c r="D5" s="474" t="s">
        <v>102</v>
      </c>
      <c r="E5" s="474" t="s">
        <v>101</v>
      </c>
      <c r="F5" s="474" t="s">
        <v>130</v>
      </c>
      <c r="G5" s="474" t="s">
        <v>81</v>
      </c>
      <c r="H5" s="474" t="s">
        <v>80</v>
      </c>
      <c r="I5" s="488" t="s">
        <v>79</v>
      </c>
      <c r="J5" s="491"/>
      <c r="K5" s="475" t="s">
        <v>78</v>
      </c>
      <c r="L5" s="493"/>
      <c r="M5" s="474" t="s">
        <v>100</v>
      </c>
    </row>
    <row r="6" spans="1:14" s="3" customFormat="1" x14ac:dyDescent="0.25">
      <c r="A6" s="474"/>
      <c r="B6" s="45" t="s">
        <v>221</v>
      </c>
      <c r="C6" s="41" t="s">
        <v>8</v>
      </c>
      <c r="D6" s="474"/>
      <c r="E6" s="474"/>
      <c r="F6" s="482"/>
      <c r="G6" s="494"/>
      <c r="H6" s="494"/>
      <c r="I6" s="60" t="s">
        <v>77</v>
      </c>
      <c r="J6" s="60" t="s">
        <v>76</v>
      </c>
      <c r="K6" s="23" t="s">
        <v>75</v>
      </c>
      <c r="L6" s="23" t="s">
        <v>74</v>
      </c>
      <c r="M6" s="494"/>
    </row>
    <row r="7" spans="1:14" ht="15" customHeight="1" x14ac:dyDescent="0.25">
      <c r="A7" s="49"/>
      <c r="B7" s="51" t="s">
        <v>133</v>
      </c>
      <c r="C7" s="50" t="str">
        <f>IF(B7='DATOS 1'!$C$3,'DATOS 1'!$B$3,IF(B7='DATOS 1'!$C$4,'DATOS 1'!$B$4,IF(B7='DATOS 1'!$C$5,'DATOS 1'!$B$5,IF(B7='DATOS 1'!$C$6,'DATOS 1'!$B$6,IF(B7='DATOS 1'!$C$7,'DATOS 1'!$B$7,IF(B7='DATOS 1'!$C$8,'DATOS 1'!$B$8,IF(B7='DATOS 1'!$C$9,'DATOS 1'!$B$9,IF(B7='DATOS 1'!$C$10,'DATOS 1'!$B$10,IF(B7='DATOS 1'!$C$11,'DATOS 1'!$B$11,IF(B7='DATOS 1'!$C$12,'DATOS 1'!$B$12,IF(B7='DATOS 1'!$C$13,'DATOS 1'!$B$13,IF(B7='DATOS 1'!$C$14,'DATOS 1'!$B$14,IF(B7='DATOS 1'!$C$15,'DATOS 1'!$B$15,IF(B7='DATOS 1'!$C$16,'DATOS 1'!$B$16,IF(B7='DATOS 1'!$C$17,'DATOS 1'!$B$17,IF(B7='DATOS 1'!$C$18,'DATOS 1'!$B$18,IF(B7='DATOS 1'!$C$19,'DATOS 1'!$B$19,IF(B7='DATOS 1'!$C$20,'DATOS 1'!$B$20,IF(B7='DATOS 1'!$C$21,'DATOS 1'!$B$21,IF(B7='DATOS 1'!$C$22,'DATOS 1'!$B$22,IF(B7='DATOS 1'!$C$23,'DATOS 1'!$B$23,IF(B7='DATOS 1'!$C$24,'DATOS 1'!$B$24,IF(B7='DATOS 1'!$C$25,'DATOS 1'!$B$25,IF(B7='DATOS 1'!$C$26,'DATOS 1'!$B$26,IF(B7='DATOS 1'!$C$27,'DATOS 1'!$B$27,IF(B7='DATOS 1'!$C$28,'DATOS 1'!$B$28,IF(B7='DATOS 1'!$C$29,'DATOS 1'!$B$29,IF(B7='DATOS 1'!$C$30,'DATOS 1'!$B$30,IF(B7='DATOS 1'!$C$31,'DATOS 1'!$B$31,IF(B7='DATOS 1'!$C$32,'DATOS 1'!$B$32,IF(B7='DATOS 1'!$C$33,'DATOS 1'!$B$33,IF(B7='DATOS 1'!$C$34,'DATOS 1'!$B$34,IF(B7='DATOS 1'!$C$35,'DATOS 1'!$B$35," ")))))))))))))))))))))))))))))))))</f>
        <v>DGD. TERRITORIAL</v>
      </c>
      <c r="D7" s="14" t="s">
        <v>116</v>
      </c>
      <c r="E7" s="14" t="s">
        <v>388</v>
      </c>
      <c r="F7" s="14" t="s">
        <v>386</v>
      </c>
      <c r="G7" s="93">
        <v>12</v>
      </c>
      <c r="H7" s="14" t="s">
        <v>387</v>
      </c>
      <c r="I7" s="96">
        <v>840103</v>
      </c>
      <c r="J7" s="95" t="s">
        <v>329</v>
      </c>
      <c r="K7" s="13">
        <v>350</v>
      </c>
      <c r="L7" s="13">
        <f t="shared" ref="L7:L16" si="0">+K7*G7</f>
        <v>4200</v>
      </c>
      <c r="M7" s="78" t="s">
        <v>399</v>
      </c>
    </row>
    <row r="8" spans="1:14" ht="60" x14ac:dyDescent="0.25">
      <c r="A8" s="49"/>
      <c r="B8" s="51" t="s">
        <v>133</v>
      </c>
      <c r="C8" s="50" t="str">
        <f>IF(B8='DATOS 1'!$C$3,'DATOS 1'!$B$3,IF(B8='DATOS 1'!$C$4,'DATOS 1'!$B$4,IF(B8='DATOS 1'!$C$5,'DATOS 1'!$B$5,IF(B8='DATOS 1'!$C$6,'DATOS 1'!$B$6,IF(B8='DATOS 1'!$C$7,'DATOS 1'!$B$7,IF(B8='DATOS 1'!$C$8,'DATOS 1'!$B$8,IF(B8='DATOS 1'!$C$9,'DATOS 1'!$B$9,IF(B8='DATOS 1'!$C$10,'DATOS 1'!$B$10,IF(B8='DATOS 1'!$C$11,'DATOS 1'!$B$11,IF(B8='DATOS 1'!$C$12,'DATOS 1'!$B$12,IF(B8='DATOS 1'!$C$13,'DATOS 1'!$B$13,IF(B8='DATOS 1'!$C$14,'DATOS 1'!$B$14,IF(B8='DATOS 1'!$C$15,'DATOS 1'!$B$15,IF(B8='DATOS 1'!$C$16,'DATOS 1'!$B$16,IF(B8='DATOS 1'!$C$17,'DATOS 1'!$B$17,IF(B8='DATOS 1'!$C$18,'DATOS 1'!$B$18,IF(B8='DATOS 1'!$C$19,'DATOS 1'!$B$19,IF(B8='DATOS 1'!$C$20,'DATOS 1'!$B$20,IF(B8='DATOS 1'!$C$21,'DATOS 1'!$B$21,IF(B8='DATOS 1'!$C$22,'DATOS 1'!$B$22,IF(B8='DATOS 1'!$C$23,'DATOS 1'!$B$23,IF(B8='DATOS 1'!$C$24,'DATOS 1'!$B$24,IF(B8='DATOS 1'!$C$25,'DATOS 1'!$B$25,IF(B8='DATOS 1'!$C$26,'DATOS 1'!$B$26,IF(B8='DATOS 1'!$C$27,'DATOS 1'!$B$27,IF(B8='DATOS 1'!$C$28,'DATOS 1'!$B$28,IF(B8='DATOS 1'!$C$29,'DATOS 1'!$B$29,IF(B8='DATOS 1'!$C$30,'DATOS 1'!$B$30,IF(B8='DATOS 1'!$C$31,'DATOS 1'!$B$31,IF(B8='DATOS 1'!$C$32,'DATOS 1'!$B$32,IF(B8='DATOS 1'!$C$33,'DATOS 1'!$B$33,IF(B8='DATOS 1'!$C$34,'DATOS 1'!$B$34,IF(B8='DATOS 1'!$C$35,'DATOS 1'!$B$35," ")))))))))))))))))))))))))))))))))</f>
        <v>DGD. TERRITORIAL</v>
      </c>
      <c r="D8" s="14" t="s">
        <v>116</v>
      </c>
      <c r="E8" s="2" t="s">
        <v>389</v>
      </c>
      <c r="F8" s="2"/>
      <c r="G8" s="79">
        <v>11</v>
      </c>
      <c r="H8" s="2" t="s">
        <v>391</v>
      </c>
      <c r="I8" s="96">
        <v>840104</v>
      </c>
      <c r="J8" s="95" t="s">
        <v>329</v>
      </c>
      <c r="K8" s="74">
        <v>100</v>
      </c>
      <c r="L8" s="74">
        <f t="shared" si="0"/>
        <v>1100</v>
      </c>
      <c r="M8" s="78" t="s">
        <v>399</v>
      </c>
    </row>
    <row r="9" spans="1:14" ht="60" x14ac:dyDescent="0.25">
      <c r="A9" s="49"/>
      <c r="B9" s="51" t="s">
        <v>133</v>
      </c>
      <c r="C9" s="50" t="str">
        <f>IF(B9='DATOS 1'!$C$3,'DATOS 1'!$B$3,IF(B9='DATOS 1'!$C$4,'DATOS 1'!$B$4,IF(B9='DATOS 1'!$C$5,'DATOS 1'!$B$5,IF(B9='DATOS 1'!$C$6,'DATOS 1'!$B$6,IF(B9='DATOS 1'!$C$7,'DATOS 1'!$B$7,IF(B9='DATOS 1'!$C$8,'DATOS 1'!$B$8,IF(B9='DATOS 1'!$C$9,'DATOS 1'!$B$9,IF(B9='DATOS 1'!$C$10,'DATOS 1'!$B$10,IF(B9='DATOS 1'!$C$11,'DATOS 1'!$B$11,IF(B9='DATOS 1'!$C$12,'DATOS 1'!$B$12,IF(B9='DATOS 1'!$C$13,'DATOS 1'!$B$13,IF(B9='DATOS 1'!$C$14,'DATOS 1'!$B$14,IF(B9='DATOS 1'!$C$15,'DATOS 1'!$B$15,IF(B9='DATOS 1'!$C$16,'DATOS 1'!$B$16,IF(B9='DATOS 1'!$C$17,'DATOS 1'!$B$17,IF(B9='DATOS 1'!$C$18,'DATOS 1'!$B$18,IF(B9='DATOS 1'!$C$19,'DATOS 1'!$B$19,IF(B9='DATOS 1'!$C$20,'DATOS 1'!$B$20,IF(B9='DATOS 1'!$C$21,'DATOS 1'!$B$21,IF(B9='DATOS 1'!$C$22,'DATOS 1'!$B$22,IF(B9='DATOS 1'!$C$23,'DATOS 1'!$B$23,IF(B9='DATOS 1'!$C$24,'DATOS 1'!$B$24,IF(B9='DATOS 1'!$C$25,'DATOS 1'!$B$25,IF(B9='DATOS 1'!$C$26,'DATOS 1'!$B$26,IF(B9='DATOS 1'!$C$27,'DATOS 1'!$B$27,IF(B9='DATOS 1'!$C$28,'DATOS 1'!$B$28,IF(B9='DATOS 1'!$C$29,'DATOS 1'!$B$29,IF(B9='DATOS 1'!$C$30,'DATOS 1'!$B$30,IF(B9='DATOS 1'!$C$31,'DATOS 1'!$B$31,IF(B9='DATOS 1'!$C$32,'DATOS 1'!$B$32,IF(B9='DATOS 1'!$C$33,'DATOS 1'!$B$33,IF(B9='DATOS 1'!$C$34,'DATOS 1'!$B$34,IF(B9='DATOS 1'!$C$35,'DATOS 1'!$B$35," ")))))))))))))))))))))))))))))))))</f>
        <v>DGD. TERRITORIAL</v>
      </c>
      <c r="D9" s="14" t="s">
        <v>116</v>
      </c>
      <c r="E9" s="2" t="s">
        <v>392</v>
      </c>
      <c r="F9" s="2"/>
      <c r="G9" s="79">
        <v>4</v>
      </c>
      <c r="H9" s="2"/>
      <c r="I9" s="96">
        <v>840105</v>
      </c>
      <c r="J9" s="95" t="s">
        <v>329</v>
      </c>
      <c r="K9" s="74">
        <v>25</v>
      </c>
      <c r="L9" s="74">
        <f t="shared" si="0"/>
        <v>100</v>
      </c>
      <c r="M9" s="78" t="s">
        <v>399</v>
      </c>
    </row>
    <row r="10" spans="1:14" ht="60" x14ac:dyDescent="0.25">
      <c r="A10" s="49"/>
      <c r="B10" s="51" t="s">
        <v>133</v>
      </c>
      <c r="C10" s="50" t="str">
        <f>IF(B10='DATOS 1'!$C$3,'DATOS 1'!$B$3,IF(B10='DATOS 1'!$C$4,'DATOS 1'!$B$4,IF(B10='DATOS 1'!$C$5,'DATOS 1'!$B$5,IF(B10='DATOS 1'!$C$6,'DATOS 1'!$B$6,IF(B10='DATOS 1'!$C$7,'DATOS 1'!$B$7,IF(B10='DATOS 1'!$C$8,'DATOS 1'!$B$8,IF(B10='DATOS 1'!$C$9,'DATOS 1'!$B$9,IF(B10='DATOS 1'!$C$10,'DATOS 1'!$B$10,IF(B10='DATOS 1'!$C$11,'DATOS 1'!$B$11,IF(B10='DATOS 1'!$C$12,'DATOS 1'!$B$12,IF(B10='DATOS 1'!$C$13,'DATOS 1'!$B$13,IF(B10='DATOS 1'!$C$14,'DATOS 1'!$B$14,IF(B10='DATOS 1'!$C$15,'DATOS 1'!$B$15,IF(B10='DATOS 1'!$C$16,'DATOS 1'!$B$16,IF(B10='DATOS 1'!$C$17,'DATOS 1'!$B$17,IF(B10='DATOS 1'!$C$18,'DATOS 1'!$B$18,IF(B10='DATOS 1'!$C$19,'DATOS 1'!$B$19,IF(B10='DATOS 1'!$C$20,'DATOS 1'!$B$20,IF(B10='DATOS 1'!$C$21,'DATOS 1'!$B$21,IF(B10='DATOS 1'!$C$22,'DATOS 1'!$B$22,IF(B10='DATOS 1'!$C$23,'DATOS 1'!$B$23,IF(B10='DATOS 1'!$C$24,'DATOS 1'!$B$24,IF(B10='DATOS 1'!$C$25,'DATOS 1'!$B$25,IF(B10='DATOS 1'!$C$26,'DATOS 1'!$B$26,IF(B10='DATOS 1'!$C$27,'DATOS 1'!$B$27,IF(B10='DATOS 1'!$C$28,'DATOS 1'!$B$28,IF(B10='DATOS 1'!$C$29,'DATOS 1'!$B$29,IF(B10='DATOS 1'!$C$30,'DATOS 1'!$B$30,IF(B10='DATOS 1'!$C$31,'DATOS 1'!$B$31,IF(B10='DATOS 1'!$C$32,'DATOS 1'!$B$32,IF(B10='DATOS 1'!$C$33,'DATOS 1'!$B$33,IF(B10='DATOS 1'!$C$34,'DATOS 1'!$B$34,IF(B10='DATOS 1'!$C$35,'DATOS 1'!$B$35," ")))))))))))))))))))))))))))))))))</f>
        <v>DGD. TERRITORIAL</v>
      </c>
      <c r="D10" s="14" t="s">
        <v>116</v>
      </c>
      <c r="E10" s="2" t="s">
        <v>390</v>
      </c>
      <c r="F10" s="2"/>
      <c r="G10" s="79">
        <v>5</v>
      </c>
      <c r="H10" s="2" t="s">
        <v>393</v>
      </c>
      <c r="I10" s="96">
        <v>840106</v>
      </c>
      <c r="J10" s="95" t="s">
        <v>329</v>
      </c>
      <c r="K10" s="74">
        <v>120</v>
      </c>
      <c r="L10" s="74">
        <f t="shared" si="0"/>
        <v>600</v>
      </c>
      <c r="M10" s="78" t="s">
        <v>399</v>
      </c>
    </row>
    <row r="11" spans="1:14" ht="60" x14ac:dyDescent="0.25">
      <c r="A11" s="49"/>
      <c r="B11" s="51" t="s">
        <v>147</v>
      </c>
      <c r="C11" s="50" t="str">
        <f>IF(B11='DATOS 1'!$C$3,'DATOS 1'!$B$3,IF(B11='DATOS 1'!$C$4,'DATOS 1'!$B$4,IF(B11='DATOS 1'!$C$5,'DATOS 1'!$B$5,IF(B11='DATOS 1'!$C$6,'DATOS 1'!$B$6,IF(B11='DATOS 1'!$C$7,'DATOS 1'!$B$7,IF(B11='DATOS 1'!$C$8,'DATOS 1'!$B$8,IF(B11='DATOS 1'!$C$9,'DATOS 1'!$B$9,IF(B11='DATOS 1'!$C$10,'DATOS 1'!$B$10,IF(B11='DATOS 1'!$C$11,'DATOS 1'!$B$11,IF(B11='DATOS 1'!$C$12,'DATOS 1'!$B$12,IF(B11='DATOS 1'!$C$13,'DATOS 1'!$B$13,IF(B11='DATOS 1'!$C$14,'DATOS 1'!$B$14,IF(B11='DATOS 1'!$C$15,'DATOS 1'!$B$15,IF(B11='DATOS 1'!$C$16,'DATOS 1'!$B$16,IF(B11='DATOS 1'!$C$17,'DATOS 1'!$B$17,IF(B11='DATOS 1'!$C$18,'DATOS 1'!$B$18,IF(B11='DATOS 1'!$C$19,'DATOS 1'!$B$19,IF(B11='DATOS 1'!$C$20,'DATOS 1'!$B$20,IF(B11='DATOS 1'!$C$21,'DATOS 1'!$B$21,IF(B11='DATOS 1'!$C$22,'DATOS 1'!$B$22,IF(B11='DATOS 1'!$C$23,'DATOS 1'!$B$23,IF(B11='DATOS 1'!$C$24,'DATOS 1'!$B$24,IF(B11='DATOS 1'!$C$25,'DATOS 1'!$B$25,IF(B11='DATOS 1'!$C$26,'DATOS 1'!$B$26,IF(B11='DATOS 1'!$C$27,'DATOS 1'!$B$27,IF(B11='DATOS 1'!$C$28,'DATOS 1'!$B$28,IF(B11='DATOS 1'!$C$29,'DATOS 1'!$B$29,IF(B11='DATOS 1'!$C$30,'DATOS 1'!$B$30,IF(B11='DATOS 1'!$C$31,'DATOS 1'!$B$31,IF(B11='DATOS 1'!$C$32,'DATOS 1'!$B$32,IF(B11='DATOS 1'!$C$33,'DATOS 1'!$B$33,IF(B11='DATOS 1'!$C$34,'DATOS 1'!$B$34,IF(B11='DATOS 1'!$C$35,'DATOS 1'!$B$35," ")))))))))))))))))))))))))))))))))</f>
        <v>DCD. INSTITUCIONAL</v>
      </c>
      <c r="D11" s="14" t="s">
        <v>115</v>
      </c>
      <c r="E11" s="2" t="s">
        <v>352</v>
      </c>
      <c r="F11" s="2"/>
      <c r="G11" s="79">
        <v>2</v>
      </c>
      <c r="H11" s="2" t="s">
        <v>397</v>
      </c>
      <c r="I11" s="75">
        <v>840104</v>
      </c>
      <c r="J11" s="72" t="s">
        <v>330</v>
      </c>
      <c r="K11" s="74">
        <v>2500</v>
      </c>
      <c r="L11" s="74">
        <f t="shared" si="0"/>
        <v>5000</v>
      </c>
      <c r="M11" s="78" t="s">
        <v>399</v>
      </c>
    </row>
    <row r="12" spans="1:14" ht="90" x14ac:dyDescent="0.25">
      <c r="A12" s="49"/>
      <c r="B12" s="51" t="s">
        <v>133</v>
      </c>
      <c r="C12" s="50" t="str">
        <f>IF(B12='DATOS 1'!$C$3,'DATOS 1'!$B$3,IF(B12='DATOS 1'!$C$4,'DATOS 1'!$B$4,IF(B12='DATOS 1'!$C$5,'DATOS 1'!$B$5,IF(B12='DATOS 1'!$C$6,'DATOS 1'!$B$6,IF(B12='DATOS 1'!$C$7,'DATOS 1'!$B$7,IF(B12='DATOS 1'!$C$8,'DATOS 1'!$B$8,IF(B12='DATOS 1'!$C$9,'DATOS 1'!$B$9,IF(B12='DATOS 1'!$C$10,'DATOS 1'!$B$10,IF(B12='DATOS 1'!$C$11,'DATOS 1'!$B$11,IF(B12='DATOS 1'!$C$12,'DATOS 1'!$B$12,IF(B12='DATOS 1'!$C$13,'DATOS 1'!$B$13,IF(B12='DATOS 1'!$C$14,'DATOS 1'!$B$14,IF(B12='DATOS 1'!$C$15,'DATOS 1'!$B$15,IF(B12='DATOS 1'!$C$16,'DATOS 1'!$B$16,IF(B12='DATOS 1'!$C$17,'DATOS 1'!$B$17,IF(B12='DATOS 1'!$C$18,'DATOS 1'!$B$18,IF(B12='DATOS 1'!$C$19,'DATOS 1'!$B$19,IF(B12='DATOS 1'!$C$20,'DATOS 1'!$B$20,IF(B12='DATOS 1'!$C$21,'DATOS 1'!$B$21,IF(B12='DATOS 1'!$C$22,'DATOS 1'!$B$22,IF(B12='DATOS 1'!$C$23,'DATOS 1'!$B$23,IF(B12='DATOS 1'!$C$24,'DATOS 1'!$B$24,IF(B12='DATOS 1'!$C$25,'DATOS 1'!$B$25,IF(B12='DATOS 1'!$C$26,'DATOS 1'!$B$26,IF(B12='DATOS 1'!$C$27,'DATOS 1'!$B$27,IF(B12='DATOS 1'!$C$28,'DATOS 1'!$B$28,IF(B12='DATOS 1'!$C$29,'DATOS 1'!$B$29,IF(B12='DATOS 1'!$C$30,'DATOS 1'!$B$30,IF(B12='DATOS 1'!$C$31,'DATOS 1'!$B$31,IF(B12='DATOS 1'!$C$32,'DATOS 1'!$B$32,IF(B12='DATOS 1'!$C$33,'DATOS 1'!$B$33,IF(B12='DATOS 1'!$C$34,'DATOS 1'!$B$34,IF(B12='DATOS 1'!$C$35,'DATOS 1'!$B$35," ")))))))))))))))))))))))))))))))))</f>
        <v>DGD. TERRITORIAL</v>
      </c>
      <c r="D12" s="14" t="s">
        <v>112</v>
      </c>
      <c r="E12" s="2" t="s">
        <v>353</v>
      </c>
      <c r="F12" s="2" t="s">
        <v>394</v>
      </c>
      <c r="G12" s="79">
        <v>7</v>
      </c>
      <c r="H12" s="2" t="s">
        <v>395</v>
      </c>
      <c r="I12" s="94">
        <v>840107</v>
      </c>
      <c r="J12" s="95" t="s">
        <v>331</v>
      </c>
      <c r="K12" s="74">
        <f>900*14%+900</f>
        <v>1026</v>
      </c>
      <c r="L12" s="74">
        <f t="shared" si="0"/>
        <v>7182</v>
      </c>
      <c r="M12" s="78" t="s">
        <v>399</v>
      </c>
      <c r="N12" s="97"/>
    </row>
    <row r="13" spans="1:14" ht="60" x14ac:dyDescent="0.25">
      <c r="A13" s="49"/>
      <c r="B13" s="51" t="s">
        <v>147</v>
      </c>
      <c r="C13" s="50" t="str">
        <f>IF(B13='DATOS 1'!$C$3,'DATOS 1'!$B$3,IF(B13='DATOS 1'!$C$4,'DATOS 1'!$B$4,IF(B13='DATOS 1'!$C$5,'DATOS 1'!$B$5,IF(B13='DATOS 1'!$C$6,'DATOS 1'!$B$6,IF(B13='DATOS 1'!$C$7,'DATOS 1'!$B$7,IF(B13='DATOS 1'!$C$8,'DATOS 1'!$B$8,IF(B13='DATOS 1'!$C$9,'DATOS 1'!$B$9,IF(B13='DATOS 1'!$C$10,'DATOS 1'!$B$10,IF(B13='DATOS 1'!$C$11,'DATOS 1'!$B$11,IF(B13='DATOS 1'!$C$12,'DATOS 1'!$B$12,IF(B13='DATOS 1'!$C$13,'DATOS 1'!$B$13,IF(B13='DATOS 1'!$C$14,'DATOS 1'!$B$14,IF(B13='DATOS 1'!$C$15,'DATOS 1'!$B$15,IF(B13='DATOS 1'!$C$16,'DATOS 1'!$B$16,IF(B13='DATOS 1'!$C$17,'DATOS 1'!$B$17,IF(B13='DATOS 1'!$C$18,'DATOS 1'!$B$18,IF(B13='DATOS 1'!$C$19,'DATOS 1'!$B$19,IF(B13='DATOS 1'!$C$20,'DATOS 1'!$B$20,IF(B13='DATOS 1'!$C$21,'DATOS 1'!$B$21,IF(B13='DATOS 1'!$C$22,'DATOS 1'!$B$22,IF(B13='DATOS 1'!$C$23,'DATOS 1'!$B$23,IF(B13='DATOS 1'!$C$24,'DATOS 1'!$B$24,IF(B13='DATOS 1'!$C$25,'DATOS 1'!$B$25,IF(B13='DATOS 1'!$C$26,'DATOS 1'!$B$26,IF(B13='DATOS 1'!$C$27,'DATOS 1'!$B$27,IF(B13='DATOS 1'!$C$28,'DATOS 1'!$B$28,IF(B13='DATOS 1'!$C$29,'DATOS 1'!$B$29,IF(B13='DATOS 1'!$C$30,'DATOS 1'!$B$30,IF(B13='DATOS 1'!$C$31,'DATOS 1'!$B$31,IF(B13='DATOS 1'!$C$32,'DATOS 1'!$B$32,IF(B13='DATOS 1'!$C$33,'DATOS 1'!$B$33,IF(B13='DATOS 1'!$C$34,'DATOS 1'!$B$34,IF(B13='DATOS 1'!$C$35,'DATOS 1'!$B$35," ")))))))))))))))))))))))))))))))))</f>
        <v>DCD. INSTITUCIONAL</v>
      </c>
      <c r="D13" s="14" t="s">
        <v>112</v>
      </c>
      <c r="E13" s="2" t="s">
        <v>353</v>
      </c>
      <c r="F13" s="2" t="s">
        <v>394</v>
      </c>
      <c r="G13" s="79">
        <v>1</v>
      </c>
      <c r="H13" s="2" t="s">
        <v>398</v>
      </c>
      <c r="I13" s="94">
        <v>840108</v>
      </c>
      <c r="J13" s="95" t="s">
        <v>331</v>
      </c>
      <c r="K13" s="74">
        <v>818</v>
      </c>
      <c r="L13" s="74">
        <f t="shared" si="0"/>
        <v>818</v>
      </c>
      <c r="M13" s="78" t="s">
        <v>399</v>
      </c>
    </row>
    <row r="14" spans="1:14" ht="60" x14ac:dyDescent="0.25">
      <c r="A14" s="49"/>
      <c r="B14" s="51" t="s">
        <v>147</v>
      </c>
      <c r="C14" s="50" t="str">
        <f>IF(B14='DATOS 1'!$C$3,'DATOS 1'!$B$3,IF(B14='DATOS 1'!$C$4,'DATOS 1'!$B$4,IF(B14='DATOS 1'!$C$5,'DATOS 1'!$B$5,IF(B14='DATOS 1'!$C$6,'DATOS 1'!$B$6,IF(B14='DATOS 1'!$C$7,'DATOS 1'!$B$7,IF(B14='DATOS 1'!$C$8,'DATOS 1'!$B$8,IF(B14='DATOS 1'!$C$9,'DATOS 1'!$B$9,IF(B14='DATOS 1'!$C$10,'DATOS 1'!$B$10,IF(B14='DATOS 1'!$C$11,'DATOS 1'!$B$11,IF(B14='DATOS 1'!$C$12,'DATOS 1'!$B$12,IF(B14='DATOS 1'!$C$13,'DATOS 1'!$B$13,IF(B14='DATOS 1'!$C$14,'DATOS 1'!$B$14,IF(B14='DATOS 1'!$C$15,'DATOS 1'!$B$15,IF(B14='DATOS 1'!$C$16,'DATOS 1'!$B$16,IF(B14='DATOS 1'!$C$17,'DATOS 1'!$B$17,IF(B14='DATOS 1'!$C$18,'DATOS 1'!$B$18,IF(B14='DATOS 1'!$C$19,'DATOS 1'!$B$19,IF(B14='DATOS 1'!$C$20,'DATOS 1'!$B$20,IF(B14='DATOS 1'!$C$21,'DATOS 1'!$B$21,IF(B14='DATOS 1'!$C$22,'DATOS 1'!$B$22,IF(B14='DATOS 1'!$C$23,'DATOS 1'!$B$23,IF(B14='DATOS 1'!$C$24,'DATOS 1'!$B$24,IF(B14='DATOS 1'!$C$25,'DATOS 1'!$B$25,IF(B14='DATOS 1'!$C$26,'DATOS 1'!$B$26,IF(B14='DATOS 1'!$C$27,'DATOS 1'!$B$27,IF(B14='DATOS 1'!$C$28,'DATOS 1'!$B$28,IF(B14='DATOS 1'!$C$29,'DATOS 1'!$B$29,IF(B14='DATOS 1'!$C$30,'DATOS 1'!$B$30,IF(B14='DATOS 1'!$C$31,'DATOS 1'!$B$31,IF(B14='DATOS 1'!$C$32,'DATOS 1'!$B$32,IF(B14='DATOS 1'!$C$33,'DATOS 1'!$B$33,IF(B14='DATOS 1'!$C$34,'DATOS 1'!$B$34,IF(B14='DATOS 1'!$C$35,'DATOS 1'!$B$35," ")))))))))))))))))))))))))))))))))</f>
        <v>DCD. INSTITUCIONAL</v>
      </c>
      <c r="D14" s="14" t="s">
        <v>110</v>
      </c>
      <c r="E14" s="2" t="s">
        <v>396</v>
      </c>
      <c r="F14" s="2"/>
      <c r="G14" s="79">
        <v>2</v>
      </c>
      <c r="H14" s="2"/>
      <c r="I14" s="94">
        <v>840111</v>
      </c>
      <c r="J14" s="95" t="s">
        <v>332</v>
      </c>
      <c r="K14" s="74">
        <v>750</v>
      </c>
      <c r="L14" s="74">
        <f t="shared" si="0"/>
        <v>1500</v>
      </c>
      <c r="M14" s="78" t="s">
        <v>399</v>
      </c>
    </row>
    <row r="15" spans="1:14" ht="45" x14ac:dyDescent="0.25">
      <c r="A15" s="49"/>
      <c r="B15" s="51" t="s">
        <v>147</v>
      </c>
      <c r="C15" s="50" t="str">
        <f>IF(B15='DATOS 1'!$C$3,'DATOS 1'!$B$3,IF(B15='DATOS 1'!$C$4,'DATOS 1'!$B$4,IF(B15='DATOS 1'!$C$5,'DATOS 1'!$B$5,IF(B15='DATOS 1'!$C$6,'DATOS 1'!$B$6,IF(B15='DATOS 1'!$C$7,'DATOS 1'!$B$7,IF(B15='DATOS 1'!$C$8,'DATOS 1'!$B$8,IF(B15='DATOS 1'!$C$9,'DATOS 1'!$B$9,IF(B15='DATOS 1'!$C$10,'DATOS 1'!$B$10,IF(B15='DATOS 1'!$C$11,'DATOS 1'!$B$11,IF(B15='DATOS 1'!$C$12,'DATOS 1'!$B$12,IF(B15='DATOS 1'!$C$13,'DATOS 1'!$B$13,IF(B15='DATOS 1'!$C$14,'DATOS 1'!$B$14,IF(B15='DATOS 1'!$C$15,'DATOS 1'!$B$15,IF(B15='DATOS 1'!$C$16,'DATOS 1'!$B$16,IF(B15='DATOS 1'!$C$17,'DATOS 1'!$B$17,IF(B15='DATOS 1'!$C$18,'DATOS 1'!$B$18,IF(B15='DATOS 1'!$C$19,'DATOS 1'!$B$19,IF(B15='DATOS 1'!$C$20,'DATOS 1'!$B$20,IF(B15='DATOS 1'!$C$21,'DATOS 1'!$B$21,IF(B15='DATOS 1'!$C$22,'DATOS 1'!$B$22,IF(B15='DATOS 1'!$C$23,'DATOS 1'!$B$23,IF(B15='DATOS 1'!$C$24,'DATOS 1'!$B$24,IF(B15='DATOS 1'!$C$25,'DATOS 1'!$B$25,IF(B15='DATOS 1'!$C$26,'DATOS 1'!$B$26,IF(B15='DATOS 1'!$C$27,'DATOS 1'!$B$27,IF(B15='DATOS 1'!$C$28,'DATOS 1'!$B$28,IF(B15='DATOS 1'!$C$29,'DATOS 1'!$B$29,IF(B15='DATOS 1'!$C$30,'DATOS 1'!$B$30,IF(B15='DATOS 1'!$C$31,'DATOS 1'!$B$31,IF(B15='DATOS 1'!$C$32,'DATOS 1'!$B$32,IF(B15='DATOS 1'!$C$33,'DATOS 1'!$B$33,IF(B15='DATOS 1'!$C$34,'DATOS 1'!$B$34,IF(B15='DATOS 1'!$C$35,'DATOS 1'!$B$35," ")))))))))))))))))))))))))))))))))</f>
        <v>DCD. INSTITUCIONAL</v>
      </c>
      <c r="D15" s="14" t="s">
        <v>109</v>
      </c>
      <c r="E15" s="2" t="s">
        <v>354</v>
      </c>
      <c r="F15" s="2" t="s">
        <v>400</v>
      </c>
      <c r="G15" s="79">
        <v>1</v>
      </c>
      <c r="H15" s="2" t="s">
        <v>401</v>
      </c>
      <c r="I15" s="94">
        <v>840201</v>
      </c>
      <c r="J15" s="95" t="s">
        <v>334</v>
      </c>
      <c r="K15" s="74">
        <v>18000</v>
      </c>
      <c r="L15" s="74">
        <f t="shared" si="0"/>
        <v>18000</v>
      </c>
      <c r="M15" s="2" t="s">
        <v>402</v>
      </c>
    </row>
    <row r="16" spans="1:14" ht="45" x14ac:dyDescent="0.25">
      <c r="A16" s="49"/>
      <c r="B16" s="51" t="s">
        <v>147</v>
      </c>
      <c r="C16" s="50" t="str">
        <f>IF(B16='DATOS 1'!$C$3,'DATOS 1'!$B$3,IF(B16='DATOS 1'!$C$4,'DATOS 1'!$B$4,IF(B16='DATOS 1'!$C$5,'DATOS 1'!$B$5,IF(B16='DATOS 1'!$C$6,'DATOS 1'!$B$6,IF(B16='DATOS 1'!$C$7,'DATOS 1'!$B$7,IF(B16='DATOS 1'!$C$8,'DATOS 1'!$B$8,IF(B16='DATOS 1'!$C$9,'DATOS 1'!$B$9,IF(B16='DATOS 1'!$C$10,'DATOS 1'!$B$10,IF(B16='DATOS 1'!$C$11,'DATOS 1'!$B$11,IF(B16='DATOS 1'!$C$12,'DATOS 1'!$B$12,IF(B16='DATOS 1'!$C$13,'DATOS 1'!$B$13,IF(B16='DATOS 1'!$C$14,'DATOS 1'!$B$14,IF(B16='DATOS 1'!$C$15,'DATOS 1'!$B$15,IF(B16='DATOS 1'!$C$16,'DATOS 1'!$B$16,IF(B16='DATOS 1'!$C$17,'DATOS 1'!$B$17,IF(B16='DATOS 1'!$C$18,'DATOS 1'!$B$18,IF(B16='DATOS 1'!$C$19,'DATOS 1'!$B$19,IF(B16='DATOS 1'!$C$20,'DATOS 1'!$B$20,IF(B16='DATOS 1'!$C$21,'DATOS 1'!$B$21,IF(B16='DATOS 1'!$C$22,'DATOS 1'!$B$22,IF(B16='DATOS 1'!$C$23,'DATOS 1'!$B$23,IF(B16='DATOS 1'!$C$24,'DATOS 1'!$B$24,IF(B16='DATOS 1'!$C$25,'DATOS 1'!$B$25,IF(B16='DATOS 1'!$C$26,'DATOS 1'!$B$26,IF(B16='DATOS 1'!$C$27,'DATOS 1'!$B$27,IF(B16='DATOS 1'!$C$28,'DATOS 1'!$B$28,IF(B16='DATOS 1'!$C$29,'DATOS 1'!$B$29,IF(B16='DATOS 1'!$C$30,'DATOS 1'!$B$30,IF(B16='DATOS 1'!$C$31,'DATOS 1'!$B$31,IF(B16='DATOS 1'!$C$32,'DATOS 1'!$B$32,IF(B16='DATOS 1'!$C$33,'DATOS 1'!$B$33,IF(B16='DATOS 1'!$C$34,'DATOS 1'!$B$34,IF(B16='DATOS 1'!$C$35,'DATOS 1'!$B$35," ")))))))))))))))))))))))))))))))))</f>
        <v>DCD. INSTITUCIONAL</v>
      </c>
      <c r="D16" s="14" t="s">
        <v>108</v>
      </c>
      <c r="E16" s="2" t="s">
        <v>355</v>
      </c>
      <c r="F16" s="2" t="s">
        <v>403</v>
      </c>
      <c r="G16" s="79">
        <v>1</v>
      </c>
      <c r="H16" s="2" t="s">
        <v>404</v>
      </c>
      <c r="I16" s="94">
        <v>840202</v>
      </c>
      <c r="J16" s="95" t="s">
        <v>335</v>
      </c>
      <c r="K16" s="74">
        <v>20000</v>
      </c>
      <c r="L16" s="74">
        <f t="shared" si="0"/>
        <v>20000</v>
      </c>
      <c r="M16" s="2" t="s">
        <v>405</v>
      </c>
    </row>
  </sheetData>
  <autoFilter ref="A6:C13"/>
  <mergeCells count="12">
    <mergeCell ref="I5:J5"/>
    <mergeCell ref="K5:L5"/>
    <mergeCell ref="M5:M6"/>
    <mergeCell ref="F5:F6"/>
    <mergeCell ref="A1:B1"/>
    <mergeCell ref="C1:M4"/>
    <mergeCell ref="A5:A6"/>
    <mergeCell ref="B5:C5"/>
    <mergeCell ref="D5:D6"/>
    <mergeCell ref="E5:E6"/>
    <mergeCell ref="G5:G6"/>
    <mergeCell ref="H5:H6"/>
  </mergeCells>
  <dataValidations count="1">
    <dataValidation type="decimal" allowBlank="1" showInputMessage="1" showErrorMessage="1" error="CELDA AUTOMATICA, NO INGRESE NINGUN VALOR" prompt="CELDA AUTOMATICA, NO INGRESE NINGUN VALOR" sqref="C7:C16">
      <formula1>0.00001</formula1>
      <formula2>1000000000000000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CIONE DIRECCIÓN / EMPRESA">
          <x14:formula1>
            <xm:f>'DATOS 1'!$C$3:$C$35</xm:f>
          </x14:formula1>
          <xm:sqref>B7:B16</xm:sqref>
        </x14:dataValidation>
        <x14:dataValidation type="list" allowBlank="1" showInputMessage="1" showErrorMessage="1">
          <x14:formula1>
            <xm:f>'DATOS 2'!$A$11:$A$21</xm:f>
          </x14:formula1>
          <xm:sqref>D7:D16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85" zoomScaleNormal="85" workbookViewId="0">
      <selection activeCell="C10" sqref="C10"/>
    </sheetView>
  </sheetViews>
  <sheetFormatPr baseColWidth="10" defaultColWidth="11.42578125" defaultRowHeight="15" x14ac:dyDescent="0.25"/>
  <cols>
    <col min="1" max="1" width="4.28515625" style="54" bestFit="1" customWidth="1"/>
    <col min="2" max="2" width="50" style="55" bestFit="1" customWidth="1"/>
    <col min="3" max="3" width="27.85546875" style="54" bestFit="1" customWidth="1"/>
    <col min="4" max="5" width="37.5703125" customWidth="1"/>
    <col min="6" max="9" width="11" customWidth="1"/>
    <col min="10" max="16384" width="11.42578125" style="1"/>
  </cols>
  <sheetData>
    <row r="1" spans="1:9" ht="30" customHeight="1" x14ac:dyDescent="0.25">
      <c r="A1" s="472" t="s">
        <v>213</v>
      </c>
      <c r="B1" s="472"/>
      <c r="C1" s="473" t="s">
        <v>127</v>
      </c>
      <c r="D1" s="473"/>
      <c r="E1" s="473"/>
      <c r="F1" s="473"/>
      <c r="G1" s="473"/>
      <c r="H1" s="473"/>
      <c r="I1" s="473"/>
    </row>
    <row r="2" spans="1:9" ht="15" customHeight="1" x14ac:dyDescent="0.25">
      <c r="A2" s="42"/>
      <c r="B2" s="2" t="s">
        <v>242</v>
      </c>
      <c r="C2" s="473"/>
      <c r="D2" s="473"/>
      <c r="E2" s="473"/>
      <c r="F2" s="473"/>
      <c r="G2" s="473"/>
      <c r="H2" s="473"/>
      <c r="I2" s="473"/>
    </row>
    <row r="3" spans="1:9" ht="15" customHeight="1" x14ac:dyDescent="0.25">
      <c r="A3" s="43"/>
      <c r="B3" s="2" t="s">
        <v>214</v>
      </c>
      <c r="C3" s="473"/>
      <c r="D3" s="473"/>
      <c r="E3" s="473"/>
      <c r="F3" s="473"/>
      <c r="G3" s="473"/>
      <c r="H3" s="473"/>
      <c r="I3" s="473"/>
    </row>
    <row r="4" spans="1:9" ht="15" customHeight="1" x14ac:dyDescent="0.25">
      <c r="A4" s="44"/>
      <c r="B4" s="2" t="s">
        <v>215</v>
      </c>
      <c r="C4" s="473"/>
      <c r="D4" s="473"/>
      <c r="E4" s="473"/>
      <c r="F4" s="473"/>
      <c r="G4" s="473"/>
      <c r="H4" s="473"/>
      <c r="I4" s="473"/>
    </row>
    <row r="5" spans="1:9" s="3" customFormat="1" ht="30" customHeight="1" x14ac:dyDescent="0.25">
      <c r="A5" s="474" t="s">
        <v>0</v>
      </c>
      <c r="B5" s="474" t="s">
        <v>1</v>
      </c>
      <c r="C5" s="474"/>
      <c r="D5" s="474" t="s">
        <v>58</v>
      </c>
      <c r="E5" s="481" t="s">
        <v>103</v>
      </c>
      <c r="F5" s="488" t="s">
        <v>79</v>
      </c>
      <c r="G5" s="488"/>
      <c r="H5" s="475" t="s">
        <v>78</v>
      </c>
      <c r="I5" s="475"/>
    </row>
    <row r="6" spans="1:9" s="3" customFormat="1" x14ac:dyDescent="0.25">
      <c r="A6" s="474"/>
      <c r="B6" s="45" t="s">
        <v>221</v>
      </c>
      <c r="C6" s="41" t="s">
        <v>8</v>
      </c>
      <c r="D6" s="474"/>
      <c r="E6" s="482"/>
      <c r="F6" s="60" t="s">
        <v>77</v>
      </c>
      <c r="G6" s="60" t="s">
        <v>76</v>
      </c>
      <c r="H6" s="23" t="s">
        <v>75</v>
      </c>
      <c r="I6" s="23" t="s">
        <v>74</v>
      </c>
    </row>
    <row r="7" spans="1:9" ht="15" customHeight="1" x14ac:dyDescent="0.25">
      <c r="A7" s="49"/>
      <c r="B7" s="51"/>
      <c r="C7" s="50" t="str">
        <f>IF(B7='DATOS 1'!$C$3,'DATOS 1'!$B$3,IF(B7='DATOS 1'!$C$4,'DATOS 1'!$B$4,IF(B7='DATOS 1'!$C$5,'DATOS 1'!$B$5,IF(B7='DATOS 1'!$C$6,'DATOS 1'!$B$6,IF(B7='DATOS 1'!$C$7,'DATOS 1'!$B$7,IF(B7='DATOS 1'!$C$8,'DATOS 1'!$B$8,IF(B7='DATOS 1'!$C$9,'DATOS 1'!$B$9,IF(B7='DATOS 1'!$C$10,'DATOS 1'!$B$10,IF(B7='DATOS 1'!$C$11,'DATOS 1'!$B$11,IF(B7='DATOS 1'!$C$12,'DATOS 1'!$B$12,IF(B7='DATOS 1'!$C$13,'DATOS 1'!$B$13,IF(B7='DATOS 1'!$C$14,'DATOS 1'!$B$14,IF(B7='DATOS 1'!$C$15,'DATOS 1'!$B$15,IF(B7='DATOS 1'!$C$16,'DATOS 1'!$B$16,IF(B7='DATOS 1'!$C$17,'DATOS 1'!$B$17,IF(B7='DATOS 1'!$C$18,'DATOS 1'!$B$18,IF(B7='DATOS 1'!$C$19,'DATOS 1'!$B$19,IF(B7='DATOS 1'!$C$20,'DATOS 1'!$B$20,IF(B7='DATOS 1'!$C$21,'DATOS 1'!$B$21,IF(B7='DATOS 1'!$C$22,'DATOS 1'!$B$22,IF(B7='DATOS 1'!$C$23,'DATOS 1'!$B$23,IF(B7='DATOS 1'!$C$24,'DATOS 1'!$B$24,IF(B7='DATOS 1'!$C$25,'DATOS 1'!$B$25,IF(B7='DATOS 1'!$C$26,'DATOS 1'!$B$26,IF(B7='DATOS 1'!$C$27,'DATOS 1'!$B$27,IF(B7='DATOS 1'!$C$28,'DATOS 1'!$B$28,IF(B7='DATOS 1'!$C$29,'DATOS 1'!$B$29,IF(B7='DATOS 1'!$C$30,'DATOS 1'!$B$30,IF(B7='DATOS 1'!$C$31,'DATOS 1'!$B$31,IF(B7='DATOS 1'!$C$32,'DATOS 1'!$B$32,IF(B7='DATOS 1'!$C$33,'DATOS 1'!$B$33,IF(B7='DATOS 1'!$C$34,'DATOS 1'!$B$34,IF(B7='DATOS 1'!$C$35,'DATOS 1'!$B$35," ")))))))))))))))))))))))))))))))))</f>
        <v xml:space="preserve"> </v>
      </c>
      <c r="D7" s="14"/>
      <c r="E7" s="14"/>
      <c r="F7" s="14"/>
      <c r="G7" s="14"/>
      <c r="H7" s="13"/>
      <c r="I7" s="13"/>
    </row>
    <row r="8" spans="1:9" x14ac:dyDescent="0.25">
      <c r="A8" s="49"/>
      <c r="B8" s="50"/>
      <c r="C8" s="50" t="str">
        <f>IF(B8='DATOS 1'!$C$3,'DATOS 1'!$B$3,IF(B8='DATOS 1'!$C$4,'DATOS 1'!$B$4,IF(B8='DATOS 1'!$C$5,'DATOS 1'!$B$5,IF(B8='DATOS 1'!$C$6,'DATOS 1'!$B$6,IF(B8='DATOS 1'!$C$7,'DATOS 1'!$B$7,IF(B8='DATOS 1'!$C$8,'DATOS 1'!$B$8,IF(B8='DATOS 1'!$C$9,'DATOS 1'!$B$9,IF(B8='DATOS 1'!$C$10,'DATOS 1'!$B$10,IF(B8='DATOS 1'!$C$11,'DATOS 1'!$B$11,IF(B8='DATOS 1'!$C$12,'DATOS 1'!$B$12,IF(B8='DATOS 1'!$C$13,'DATOS 1'!$B$13,IF(B8='DATOS 1'!$C$14,'DATOS 1'!$B$14,IF(B8='DATOS 1'!$C$15,'DATOS 1'!$B$15,IF(B8='DATOS 1'!$C$16,'DATOS 1'!$B$16,IF(B8='DATOS 1'!$C$17,'DATOS 1'!$B$17,IF(B8='DATOS 1'!$C$18,'DATOS 1'!$B$18,IF(B8='DATOS 1'!$C$19,'DATOS 1'!$B$19,IF(B8='DATOS 1'!$C$20,'DATOS 1'!$B$20,IF(B8='DATOS 1'!$C$21,'DATOS 1'!$B$21,IF(B8='DATOS 1'!$C$22,'DATOS 1'!$B$22,IF(B8='DATOS 1'!$C$23,'DATOS 1'!$B$23,IF(B8='DATOS 1'!$C$24,'DATOS 1'!$B$24,IF(B8='DATOS 1'!$C$25,'DATOS 1'!$B$25,IF(B8='DATOS 1'!$C$26,'DATOS 1'!$B$26,IF(B8='DATOS 1'!$C$27,'DATOS 1'!$B$27,IF(B8='DATOS 1'!$C$28,'DATOS 1'!$B$28,IF(B8='DATOS 1'!$C$29,'DATOS 1'!$B$29,IF(B8='DATOS 1'!$C$30,'DATOS 1'!$B$30,IF(B8='DATOS 1'!$C$31,'DATOS 1'!$B$31,IF(B8='DATOS 1'!$C$32,'DATOS 1'!$B$32,IF(B8='DATOS 1'!$C$33,'DATOS 1'!$B$33,IF(B8='DATOS 1'!$C$34,'DATOS 1'!$B$34,IF(B8='DATOS 1'!$C$35,'DATOS 1'!$B$35," ")))))))))))))))))))))))))))))))))</f>
        <v xml:space="preserve"> </v>
      </c>
      <c r="D8" s="14"/>
      <c r="E8" s="14"/>
      <c r="F8" s="14"/>
      <c r="G8" s="14"/>
      <c r="H8" s="13"/>
      <c r="I8" s="13"/>
    </row>
    <row r="9" spans="1:9" x14ac:dyDescent="0.25">
      <c r="A9" s="49"/>
      <c r="B9" s="50"/>
      <c r="C9" s="50" t="str">
        <f>IF(B9='DATOS 1'!$C$3,'DATOS 1'!$B$3,IF(B9='DATOS 1'!$C$4,'DATOS 1'!$B$4,IF(B9='DATOS 1'!$C$5,'DATOS 1'!$B$5,IF(B9='DATOS 1'!$C$6,'DATOS 1'!$B$6,IF(B9='DATOS 1'!$C$7,'DATOS 1'!$B$7,IF(B9='DATOS 1'!$C$8,'DATOS 1'!$B$8,IF(B9='DATOS 1'!$C$9,'DATOS 1'!$B$9,IF(B9='DATOS 1'!$C$10,'DATOS 1'!$B$10,IF(B9='DATOS 1'!$C$11,'DATOS 1'!$B$11,IF(B9='DATOS 1'!$C$12,'DATOS 1'!$B$12,IF(B9='DATOS 1'!$C$13,'DATOS 1'!$B$13,IF(B9='DATOS 1'!$C$14,'DATOS 1'!$B$14,IF(B9='DATOS 1'!$C$15,'DATOS 1'!$B$15,IF(B9='DATOS 1'!$C$16,'DATOS 1'!$B$16,IF(B9='DATOS 1'!$C$17,'DATOS 1'!$B$17,IF(B9='DATOS 1'!$C$18,'DATOS 1'!$B$18,IF(B9='DATOS 1'!$C$19,'DATOS 1'!$B$19,IF(B9='DATOS 1'!$C$20,'DATOS 1'!$B$20,IF(B9='DATOS 1'!$C$21,'DATOS 1'!$B$21,IF(B9='DATOS 1'!$C$22,'DATOS 1'!$B$22,IF(B9='DATOS 1'!$C$23,'DATOS 1'!$B$23,IF(B9='DATOS 1'!$C$24,'DATOS 1'!$B$24,IF(B9='DATOS 1'!$C$25,'DATOS 1'!$B$25,IF(B9='DATOS 1'!$C$26,'DATOS 1'!$B$26,IF(B9='DATOS 1'!$C$27,'DATOS 1'!$B$27,IF(B9='DATOS 1'!$C$28,'DATOS 1'!$B$28,IF(B9='DATOS 1'!$C$29,'DATOS 1'!$B$29,IF(B9='DATOS 1'!$C$30,'DATOS 1'!$B$30,IF(B9='DATOS 1'!$C$31,'DATOS 1'!$B$31,IF(B9='DATOS 1'!$C$32,'DATOS 1'!$B$32,IF(B9='DATOS 1'!$C$33,'DATOS 1'!$B$33,IF(B9='DATOS 1'!$C$34,'DATOS 1'!$B$34,IF(B9='DATOS 1'!$C$35,'DATOS 1'!$B$35," ")))))))))))))))))))))))))))))))))</f>
        <v xml:space="preserve"> </v>
      </c>
      <c r="D9" s="14"/>
      <c r="E9" s="14"/>
      <c r="F9" s="14"/>
      <c r="G9" s="14"/>
      <c r="H9" s="13"/>
      <c r="I9" s="13"/>
    </row>
    <row r="10" spans="1:9" x14ac:dyDescent="0.25">
      <c r="A10" s="49"/>
      <c r="B10" s="50"/>
      <c r="C10" s="50" t="str">
        <f>IF(B10='DATOS 1'!$C$3,'DATOS 1'!$B$3,IF(B10='DATOS 1'!$C$4,'DATOS 1'!$B$4,IF(B10='DATOS 1'!$C$5,'DATOS 1'!$B$5,IF(B10='DATOS 1'!$C$6,'DATOS 1'!$B$6,IF(B10='DATOS 1'!$C$7,'DATOS 1'!$B$7,IF(B10='DATOS 1'!$C$8,'DATOS 1'!$B$8,IF(B10='DATOS 1'!$C$9,'DATOS 1'!$B$9,IF(B10='DATOS 1'!$C$10,'DATOS 1'!$B$10,IF(B10='DATOS 1'!$C$11,'DATOS 1'!$B$11,IF(B10='DATOS 1'!$C$12,'DATOS 1'!$B$12,IF(B10='DATOS 1'!$C$13,'DATOS 1'!$B$13,IF(B10='DATOS 1'!$C$14,'DATOS 1'!$B$14,IF(B10='DATOS 1'!$C$15,'DATOS 1'!$B$15,IF(B10='DATOS 1'!$C$16,'DATOS 1'!$B$16,IF(B10='DATOS 1'!$C$17,'DATOS 1'!$B$17,IF(B10='DATOS 1'!$C$18,'DATOS 1'!$B$18,IF(B10='DATOS 1'!$C$19,'DATOS 1'!$B$19,IF(B10='DATOS 1'!$C$20,'DATOS 1'!$B$20,IF(B10='DATOS 1'!$C$21,'DATOS 1'!$B$21,IF(B10='DATOS 1'!$C$22,'DATOS 1'!$B$22,IF(B10='DATOS 1'!$C$23,'DATOS 1'!$B$23,IF(B10='DATOS 1'!$C$24,'DATOS 1'!$B$24,IF(B10='DATOS 1'!$C$25,'DATOS 1'!$B$25,IF(B10='DATOS 1'!$C$26,'DATOS 1'!$B$26,IF(B10='DATOS 1'!$C$27,'DATOS 1'!$B$27,IF(B10='DATOS 1'!$C$28,'DATOS 1'!$B$28,IF(B10='DATOS 1'!$C$29,'DATOS 1'!$B$29,IF(B10='DATOS 1'!$C$30,'DATOS 1'!$B$30,IF(B10='DATOS 1'!$C$31,'DATOS 1'!$B$31,IF(B10='DATOS 1'!$C$32,'DATOS 1'!$B$32,IF(B10='DATOS 1'!$C$33,'DATOS 1'!$B$33,IF(B10='DATOS 1'!$C$34,'DATOS 1'!$B$34,IF(B10='DATOS 1'!$C$35,'DATOS 1'!$B$35," ")))))))))))))))))))))))))))))))))</f>
        <v xml:space="preserve"> </v>
      </c>
      <c r="D10" s="14"/>
      <c r="E10" s="14"/>
      <c r="F10" s="14"/>
      <c r="G10" s="14"/>
      <c r="H10" s="13"/>
      <c r="I10" s="13"/>
    </row>
    <row r="11" spans="1:9" x14ac:dyDescent="0.25">
      <c r="A11" s="49"/>
      <c r="B11" s="50"/>
      <c r="C11" s="50" t="str">
        <f>IF(B11='DATOS 1'!$C$3,'DATOS 1'!$B$3,IF(B11='DATOS 1'!$C$4,'DATOS 1'!$B$4,IF(B11='DATOS 1'!$C$5,'DATOS 1'!$B$5,IF(B11='DATOS 1'!$C$6,'DATOS 1'!$B$6,IF(B11='DATOS 1'!$C$7,'DATOS 1'!$B$7,IF(B11='DATOS 1'!$C$8,'DATOS 1'!$B$8,IF(B11='DATOS 1'!$C$9,'DATOS 1'!$B$9,IF(B11='DATOS 1'!$C$10,'DATOS 1'!$B$10,IF(B11='DATOS 1'!$C$11,'DATOS 1'!$B$11,IF(B11='DATOS 1'!$C$12,'DATOS 1'!$B$12,IF(B11='DATOS 1'!$C$13,'DATOS 1'!$B$13,IF(B11='DATOS 1'!$C$14,'DATOS 1'!$B$14,IF(B11='DATOS 1'!$C$15,'DATOS 1'!$B$15,IF(B11='DATOS 1'!$C$16,'DATOS 1'!$B$16,IF(B11='DATOS 1'!$C$17,'DATOS 1'!$B$17,IF(B11='DATOS 1'!$C$18,'DATOS 1'!$B$18,IF(B11='DATOS 1'!$C$19,'DATOS 1'!$B$19,IF(B11='DATOS 1'!$C$20,'DATOS 1'!$B$20,IF(B11='DATOS 1'!$C$21,'DATOS 1'!$B$21,IF(B11='DATOS 1'!$C$22,'DATOS 1'!$B$22,IF(B11='DATOS 1'!$C$23,'DATOS 1'!$B$23,IF(B11='DATOS 1'!$C$24,'DATOS 1'!$B$24,IF(B11='DATOS 1'!$C$25,'DATOS 1'!$B$25,IF(B11='DATOS 1'!$C$26,'DATOS 1'!$B$26,IF(B11='DATOS 1'!$C$27,'DATOS 1'!$B$27,IF(B11='DATOS 1'!$C$28,'DATOS 1'!$B$28,IF(B11='DATOS 1'!$C$29,'DATOS 1'!$B$29,IF(B11='DATOS 1'!$C$30,'DATOS 1'!$B$30,IF(B11='DATOS 1'!$C$31,'DATOS 1'!$B$31,IF(B11='DATOS 1'!$C$32,'DATOS 1'!$B$32,IF(B11='DATOS 1'!$C$33,'DATOS 1'!$B$33,IF(B11='DATOS 1'!$C$34,'DATOS 1'!$B$34,IF(B11='DATOS 1'!$C$35,'DATOS 1'!$B$35," ")))))))))))))))))))))))))))))))))</f>
        <v xml:space="preserve"> </v>
      </c>
      <c r="D11" s="14"/>
      <c r="E11" s="14"/>
      <c r="F11" s="14"/>
      <c r="G11" s="14"/>
      <c r="H11" s="13"/>
      <c r="I11" s="13"/>
    </row>
    <row r="12" spans="1:9" x14ac:dyDescent="0.25">
      <c r="A12" s="49"/>
      <c r="B12" s="50"/>
      <c r="C12" s="50" t="str">
        <f>IF(B12='DATOS 1'!$C$3,'DATOS 1'!$B$3,IF(B12='DATOS 1'!$C$4,'DATOS 1'!$B$4,IF(B12='DATOS 1'!$C$5,'DATOS 1'!$B$5,IF(B12='DATOS 1'!$C$6,'DATOS 1'!$B$6,IF(B12='DATOS 1'!$C$7,'DATOS 1'!$B$7,IF(B12='DATOS 1'!$C$8,'DATOS 1'!$B$8,IF(B12='DATOS 1'!$C$9,'DATOS 1'!$B$9,IF(B12='DATOS 1'!$C$10,'DATOS 1'!$B$10,IF(B12='DATOS 1'!$C$11,'DATOS 1'!$B$11,IF(B12='DATOS 1'!$C$12,'DATOS 1'!$B$12,IF(B12='DATOS 1'!$C$13,'DATOS 1'!$B$13,IF(B12='DATOS 1'!$C$14,'DATOS 1'!$B$14,IF(B12='DATOS 1'!$C$15,'DATOS 1'!$B$15,IF(B12='DATOS 1'!$C$16,'DATOS 1'!$B$16,IF(B12='DATOS 1'!$C$17,'DATOS 1'!$B$17,IF(B12='DATOS 1'!$C$18,'DATOS 1'!$B$18,IF(B12='DATOS 1'!$C$19,'DATOS 1'!$B$19,IF(B12='DATOS 1'!$C$20,'DATOS 1'!$B$20,IF(B12='DATOS 1'!$C$21,'DATOS 1'!$B$21,IF(B12='DATOS 1'!$C$22,'DATOS 1'!$B$22,IF(B12='DATOS 1'!$C$23,'DATOS 1'!$B$23,IF(B12='DATOS 1'!$C$24,'DATOS 1'!$B$24,IF(B12='DATOS 1'!$C$25,'DATOS 1'!$B$25,IF(B12='DATOS 1'!$C$26,'DATOS 1'!$B$26,IF(B12='DATOS 1'!$C$27,'DATOS 1'!$B$27,IF(B12='DATOS 1'!$C$28,'DATOS 1'!$B$28,IF(B12='DATOS 1'!$C$29,'DATOS 1'!$B$29,IF(B12='DATOS 1'!$C$30,'DATOS 1'!$B$30,IF(B12='DATOS 1'!$C$31,'DATOS 1'!$B$31,IF(B12='DATOS 1'!$C$32,'DATOS 1'!$B$32,IF(B12='DATOS 1'!$C$33,'DATOS 1'!$B$33,IF(B12='DATOS 1'!$C$34,'DATOS 1'!$B$34,IF(B12='DATOS 1'!$C$35,'DATOS 1'!$B$35," ")))))))))))))))))))))))))))))))))</f>
        <v xml:space="preserve"> </v>
      </c>
      <c r="D12" s="14"/>
      <c r="E12" s="14"/>
      <c r="F12" s="14"/>
      <c r="G12" s="14"/>
      <c r="H12" s="13"/>
      <c r="I12" s="13"/>
    </row>
    <row r="13" spans="1:9" x14ac:dyDescent="0.25">
      <c r="A13" s="49"/>
      <c r="B13" s="50"/>
      <c r="C13" s="50" t="str">
        <f>IF(B13='DATOS 1'!$C$3,'DATOS 1'!$B$3,IF(B13='DATOS 1'!$C$4,'DATOS 1'!$B$4,IF(B13='DATOS 1'!$C$5,'DATOS 1'!$B$5,IF(B13='DATOS 1'!$C$6,'DATOS 1'!$B$6,IF(B13='DATOS 1'!$C$7,'DATOS 1'!$B$7,IF(B13='DATOS 1'!$C$8,'DATOS 1'!$B$8,IF(B13='DATOS 1'!$C$9,'DATOS 1'!$B$9,IF(B13='DATOS 1'!$C$10,'DATOS 1'!$B$10,IF(B13='DATOS 1'!$C$11,'DATOS 1'!$B$11,IF(B13='DATOS 1'!$C$12,'DATOS 1'!$B$12,IF(B13='DATOS 1'!$C$13,'DATOS 1'!$B$13,IF(B13='DATOS 1'!$C$14,'DATOS 1'!$B$14,IF(B13='DATOS 1'!$C$15,'DATOS 1'!$B$15,IF(B13='DATOS 1'!$C$16,'DATOS 1'!$B$16,IF(B13='DATOS 1'!$C$17,'DATOS 1'!$B$17,IF(B13='DATOS 1'!$C$18,'DATOS 1'!$B$18,IF(B13='DATOS 1'!$C$19,'DATOS 1'!$B$19,IF(B13='DATOS 1'!$C$20,'DATOS 1'!$B$20,IF(B13='DATOS 1'!$C$21,'DATOS 1'!$B$21,IF(B13='DATOS 1'!$C$22,'DATOS 1'!$B$22,IF(B13='DATOS 1'!$C$23,'DATOS 1'!$B$23,IF(B13='DATOS 1'!$C$24,'DATOS 1'!$B$24,IF(B13='DATOS 1'!$C$25,'DATOS 1'!$B$25,IF(B13='DATOS 1'!$C$26,'DATOS 1'!$B$26,IF(B13='DATOS 1'!$C$27,'DATOS 1'!$B$27,IF(B13='DATOS 1'!$C$28,'DATOS 1'!$B$28,IF(B13='DATOS 1'!$C$29,'DATOS 1'!$B$29,IF(B13='DATOS 1'!$C$30,'DATOS 1'!$B$30,IF(B13='DATOS 1'!$C$31,'DATOS 1'!$B$31,IF(B13='DATOS 1'!$C$32,'DATOS 1'!$B$32,IF(B13='DATOS 1'!$C$33,'DATOS 1'!$B$33,IF(B13='DATOS 1'!$C$34,'DATOS 1'!$B$34,IF(B13='DATOS 1'!$C$35,'DATOS 1'!$B$35," ")))))))))))))))))))))))))))))))))</f>
        <v xml:space="preserve"> </v>
      </c>
      <c r="D13" s="14"/>
      <c r="E13" s="14"/>
      <c r="F13" s="14"/>
      <c r="G13" s="14"/>
      <c r="H13" s="13"/>
      <c r="I13" s="13"/>
    </row>
  </sheetData>
  <autoFilter ref="A6:C13"/>
  <mergeCells count="8">
    <mergeCell ref="D5:D6"/>
    <mergeCell ref="E5:E6"/>
    <mergeCell ref="F5:G5"/>
    <mergeCell ref="H5:I5"/>
    <mergeCell ref="A1:B1"/>
    <mergeCell ref="C1:I4"/>
    <mergeCell ref="A5:A6"/>
    <mergeCell ref="B5:C5"/>
  </mergeCells>
  <dataValidations count="1">
    <dataValidation type="decimal" allowBlank="1" showInputMessage="1" showErrorMessage="1" error="CELDA AUTOMATICA, NO INGRESE NINGUN VALOR" prompt="CELDA AUTOMATICA, NO INGRESE NINGUN VALOR" sqref="C7:C13">
      <formula1>0.00001</formula1>
      <formula2>1000000000000000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CIONE DIRECCIÓN / EMPRESA">
          <x14:formula1>
            <xm:f>'DATOS 1'!$C$3:$C$35</xm:f>
          </x14:formula1>
          <xm:sqref>B7:B13</xm:sqref>
        </x14:dataValidation>
        <x14:dataValidation type="list" allowBlank="1" showInputMessage="1" showErrorMessage="1">
          <x14:formula1>
            <xm:f>'DATOS 2'!$A$24:$A$25</xm:f>
          </x14:formula1>
          <xm:sqref>D7:D13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69"/>
  <sheetViews>
    <sheetView workbookViewId="0">
      <selection activeCell="F8" sqref="F8"/>
    </sheetView>
  </sheetViews>
  <sheetFormatPr baseColWidth="10" defaultRowHeight="15" x14ac:dyDescent="0.25"/>
  <cols>
    <col min="2" max="2" width="32.7109375" bestFit="1" customWidth="1"/>
    <col min="3" max="3" width="60" bestFit="1" customWidth="1"/>
    <col min="4" max="4" width="48.28515625" bestFit="1" customWidth="1"/>
    <col min="5" max="5" width="14.5703125" bestFit="1" customWidth="1"/>
    <col min="6" max="6" width="46.42578125" style="38" customWidth="1"/>
  </cols>
  <sheetData>
    <row r="1" spans="1:37" s="3" customFormat="1" ht="30" customHeight="1" x14ac:dyDescent="0.25">
      <c r="A1" s="474" t="s">
        <v>0</v>
      </c>
      <c r="B1" s="474" t="s">
        <v>1</v>
      </c>
      <c r="C1" s="474"/>
      <c r="D1" s="24"/>
      <c r="E1" s="474"/>
      <c r="F1" s="474"/>
      <c r="G1" s="474" t="s">
        <v>26</v>
      </c>
      <c r="H1" s="474"/>
      <c r="I1" s="474" t="s">
        <v>11</v>
      </c>
      <c r="J1" s="474"/>
      <c r="K1" s="474" t="s">
        <v>14</v>
      </c>
      <c r="L1" s="474"/>
      <c r="M1" s="474" t="s">
        <v>17</v>
      </c>
      <c r="N1" s="474"/>
      <c r="O1" s="474"/>
      <c r="P1" s="474" t="s">
        <v>24</v>
      </c>
      <c r="Q1" s="475" t="s">
        <v>25</v>
      </c>
      <c r="R1" s="475"/>
      <c r="S1" s="475"/>
      <c r="T1" s="475"/>
      <c r="U1" s="474" t="s">
        <v>27</v>
      </c>
      <c r="V1" s="474"/>
      <c r="W1" s="474"/>
      <c r="X1" s="474" t="s">
        <v>31</v>
      </c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 t="s">
        <v>45</v>
      </c>
      <c r="AK1" s="474" t="s">
        <v>46</v>
      </c>
    </row>
    <row r="2" spans="1:37" s="3" customFormat="1" ht="60" x14ac:dyDescent="0.25">
      <c r="A2" s="474"/>
      <c r="B2" s="24" t="s">
        <v>8</v>
      </c>
      <c r="C2" s="24" t="s">
        <v>9</v>
      </c>
      <c r="D2" s="24" t="s">
        <v>128</v>
      </c>
      <c r="E2" s="24" t="s">
        <v>7</v>
      </c>
      <c r="F2" s="26" t="s">
        <v>174</v>
      </c>
      <c r="G2" s="24" t="s">
        <v>5</v>
      </c>
      <c r="H2" s="24" t="s">
        <v>6</v>
      </c>
      <c r="I2" s="24" t="s">
        <v>12</v>
      </c>
      <c r="J2" s="24" t="s">
        <v>13</v>
      </c>
      <c r="K2" s="24" t="s">
        <v>15</v>
      </c>
      <c r="L2" s="24" t="s">
        <v>16</v>
      </c>
      <c r="M2" s="24" t="s">
        <v>20</v>
      </c>
      <c r="N2" s="24" t="s">
        <v>18</v>
      </c>
      <c r="O2" s="24" t="s">
        <v>19</v>
      </c>
      <c r="P2" s="474"/>
      <c r="Q2" s="25" t="s">
        <v>21</v>
      </c>
      <c r="R2" s="25" t="s">
        <v>22</v>
      </c>
      <c r="S2" s="25" t="s">
        <v>23</v>
      </c>
      <c r="T2" s="25" t="s">
        <v>44</v>
      </c>
      <c r="U2" s="24" t="s">
        <v>28</v>
      </c>
      <c r="V2" s="24" t="s">
        <v>29</v>
      </c>
      <c r="W2" s="24" t="s">
        <v>30</v>
      </c>
      <c r="X2" s="24" t="s">
        <v>32</v>
      </c>
      <c r="Y2" s="24" t="s">
        <v>33</v>
      </c>
      <c r="Z2" s="24" t="s">
        <v>34</v>
      </c>
      <c r="AA2" s="24" t="s">
        <v>35</v>
      </c>
      <c r="AB2" s="24" t="s">
        <v>36</v>
      </c>
      <c r="AC2" s="24" t="s">
        <v>37</v>
      </c>
      <c r="AD2" s="24" t="s">
        <v>38</v>
      </c>
      <c r="AE2" s="24" t="s">
        <v>39</v>
      </c>
      <c r="AF2" s="24" t="s">
        <v>40</v>
      </c>
      <c r="AG2" s="24" t="s">
        <v>41</v>
      </c>
      <c r="AH2" s="24" t="s">
        <v>42</v>
      </c>
      <c r="AI2" s="24" t="s">
        <v>43</v>
      </c>
      <c r="AJ2" s="474"/>
      <c r="AK2" s="474"/>
    </row>
    <row r="3" spans="1:37" x14ac:dyDescent="0.25">
      <c r="B3" t="s">
        <v>222</v>
      </c>
      <c r="C3" s="14" t="s">
        <v>131</v>
      </c>
      <c r="D3" s="32" t="s">
        <v>160</v>
      </c>
      <c r="E3" s="35" t="s">
        <v>169</v>
      </c>
      <c r="F3" s="39" t="s">
        <v>175</v>
      </c>
      <c r="G3" s="35" t="s">
        <v>189</v>
      </c>
      <c r="I3" t="s">
        <v>194</v>
      </c>
      <c r="M3" t="s">
        <v>211</v>
      </c>
    </row>
    <row r="4" spans="1:37" x14ac:dyDescent="0.25">
      <c r="B4" t="s">
        <v>222</v>
      </c>
      <c r="C4" s="14" t="s">
        <v>132</v>
      </c>
      <c r="D4" s="33" t="s">
        <v>161</v>
      </c>
      <c r="E4" s="35" t="s">
        <v>169</v>
      </c>
      <c r="F4" s="39" t="s">
        <v>176</v>
      </c>
      <c r="G4" s="35" t="s">
        <v>190</v>
      </c>
      <c r="I4" t="s">
        <v>193</v>
      </c>
      <c r="M4" t="s">
        <v>212</v>
      </c>
    </row>
    <row r="5" spans="1:37" x14ac:dyDescent="0.25">
      <c r="B5" t="s">
        <v>222</v>
      </c>
      <c r="C5" s="14" t="s">
        <v>133</v>
      </c>
      <c r="D5" s="33" t="s">
        <v>162</v>
      </c>
      <c r="E5" s="35" t="s">
        <v>169</v>
      </c>
      <c r="F5" s="39" t="s">
        <v>177</v>
      </c>
      <c r="G5" s="35" t="s">
        <v>191</v>
      </c>
      <c r="I5" t="s">
        <v>204</v>
      </c>
    </row>
    <row r="6" spans="1:37" x14ac:dyDescent="0.25">
      <c r="B6" t="s">
        <v>222</v>
      </c>
      <c r="C6" s="14" t="s">
        <v>134</v>
      </c>
      <c r="D6" s="33" t="s">
        <v>163</v>
      </c>
      <c r="E6" s="35" t="s">
        <v>169</v>
      </c>
      <c r="F6" s="39" t="s">
        <v>178</v>
      </c>
      <c r="G6" s="35" t="s">
        <v>192</v>
      </c>
      <c r="I6" t="s">
        <v>205</v>
      </c>
    </row>
    <row r="7" spans="1:37" ht="15" customHeight="1" x14ac:dyDescent="0.25">
      <c r="B7" t="s">
        <v>222</v>
      </c>
      <c r="C7" s="14" t="s">
        <v>136</v>
      </c>
      <c r="D7" s="33" t="s">
        <v>164</v>
      </c>
      <c r="E7" s="35" t="s">
        <v>169</v>
      </c>
      <c r="F7" s="39" t="s">
        <v>179</v>
      </c>
      <c r="I7" t="s">
        <v>206</v>
      </c>
    </row>
    <row r="8" spans="1:37" x14ac:dyDescent="0.25">
      <c r="B8" t="s">
        <v>222</v>
      </c>
      <c r="C8" s="14" t="s">
        <v>135</v>
      </c>
      <c r="D8" s="34" t="s">
        <v>165</v>
      </c>
      <c r="E8" s="35" t="s">
        <v>170</v>
      </c>
      <c r="F8" s="39" t="s">
        <v>232</v>
      </c>
      <c r="I8" t="s">
        <v>207</v>
      </c>
    </row>
    <row r="9" spans="1:37" x14ac:dyDescent="0.25">
      <c r="B9" t="s">
        <v>222</v>
      </c>
      <c r="C9" s="14" t="s">
        <v>137</v>
      </c>
      <c r="D9" s="34" t="s">
        <v>166</v>
      </c>
      <c r="E9" s="35" t="s">
        <v>170</v>
      </c>
      <c r="F9" s="39" t="s">
        <v>231</v>
      </c>
      <c r="I9" t="s">
        <v>208</v>
      </c>
    </row>
    <row r="10" spans="1:37" ht="15" customHeight="1" x14ac:dyDescent="0.25">
      <c r="B10" t="s">
        <v>222</v>
      </c>
      <c r="C10" s="14" t="s">
        <v>138</v>
      </c>
      <c r="D10" s="34" t="s">
        <v>167</v>
      </c>
      <c r="E10" s="35" t="s">
        <v>170</v>
      </c>
      <c r="F10" s="39" t="s">
        <v>230</v>
      </c>
      <c r="I10" t="s">
        <v>209</v>
      </c>
    </row>
    <row r="11" spans="1:37" x14ac:dyDescent="0.25">
      <c r="B11" t="s">
        <v>223</v>
      </c>
      <c r="C11" s="14" t="s">
        <v>140</v>
      </c>
      <c r="D11" s="33" t="s">
        <v>168</v>
      </c>
      <c r="E11" s="35" t="s">
        <v>170</v>
      </c>
      <c r="F11" s="39" t="s">
        <v>229</v>
      </c>
      <c r="I11" t="s">
        <v>210</v>
      </c>
    </row>
    <row r="12" spans="1:37" x14ac:dyDescent="0.25">
      <c r="B12" t="s">
        <v>223</v>
      </c>
      <c r="C12" s="14" t="s">
        <v>139</v>
      </c>
      <c r="E12" s="35" t="s">
        <v>170</v>
      </c>
      <c r="F12" s="39" t="s">
        <v>233</v>
      </c>
      <c r="I12" t="s">
        <v>195</v>
      </c>
    </row>
    <row r="13" spans="1:37" ht="15" customHeight="1" x14ac:dyDescent="0.25">
      <c r="B13" t="s">
        <v>223</v>
      </c>
      <c r="C13" s="14" t="s">
        <v>141</v>
      </c>
      <c r="D13" s="35"/>
      <c r="E13" s="35" t="s">
        <v>170</v>
      </c>
      <c r="F13" s="39" t="s">
        <v>234</v>
      </c>
      <c r="I13" t="s">
        <v>196</v>
      </c>
    </row>
    <row r="14" spans="1:37" x14ac:dyDescent="0.25">
      <c r="B14" t="s">
        <v>223</v>
      </c>
      <c r="C14" s="14" t="s">
        <v>142</v>
      </c>
      <c r="D14" s="35"/>
      <c r="E14" s="35" t="s">
        <v>171</v>
      </c>
      <c r="F14" s="39" t="s">
        <v>180</v>
      </c>
      <c r="I14" t="s">
        <v>197</v>
      </c>
    </row>
    <row r="15" spans="1:37" x14ac:dyDescent="0.25">
      <c r="B15" t="s">
        <v>224</v>
      </c>
      <c r="C15" s="14" t="s">
        <v>143</v>
      </c>
      <c r="D15" s="35"/>
      <c r="E15" s="35" t="s">
        <v>171</v>
      </c>
      <c r="F15" s="39" t="s">
        <v>181</v>
      </c>
      <c r="I15" t="s">
        <v>198</v>
      </c>
    </row>
    <row r="16" spans="1:37" x14ac:dyDescent="0.25">
      <c r="B16" t="s">
        <v>224</v>
      </c>
      <c r="C16" s="14" t="s">
        <v>144</v>
      </c>
      <c r="D16" s="35"/>
      <c r="E16" s="35" t="s">
        <v>171</v>
      </c>
      <c r="F16" s="39" t="s">
        <v>182</v>
      </c>
      <c r="I16" t="s">
        <v>199</v>
      </c>
    </row>
    <row r="17" spans="2:9" x14ac:dyDescent="0.25">
      <c r="B17" t="s">
        <v>224</v>
      </c>
      <c r="C17" s="14" t="s">
        <v>145</v>
      </c>
      <c r="D17" s="35"/>
      <c r="E17" s="35" t="s">
        <v>171</v>
      </c>
      <c r="F17" s="39" t="s">
        <v>183</v>
      </c>
      <c r="I17" t="s">
        <v>200</v>
      </c>
    </row>
    <row r="18" spans="2:9" ht="15" customHeight="1" x14ac:dyDescent="0.25">
      <c r="B18" t="s">
        <v>225</v>
      </c>
      <c r="C18" s="14" t="s">
        <v>147</v>
      </c>
      <c r="E18" s="35" t="s">
        <v>171</v>
      </c>
      <c r="F18" s="39" t="s">
        <v>184</v>
      </c>
      <c r="I18" t="s">
        <v>201</v>
      </c>
    </row>
    <row r="19" spans="2:9" x14ac:dyDescent="0.25">
      <c r="B19" t="s">
        <v>225</v>
      </c>
      <c r="C19" s="14" t="s">
        <v>148</v>
      </c>
      <c r="E19" s="35" t="s">
        <v>172</v>
      </c>
      <c r="F19" s="39" t="s">
        <v>185</v>
      </c>
      <c r="I19" t="s">
        <v>202</v>
      </c>
    </row>
    <row r="20" spans="2:9" ht="15" customHeight="1" x14ac:dyDescent="0.25">
      <c r="B20" t="s">
        <v>225</v>
      </c>
      <c r="C20" s="14" t="s">
        <v>149</v>
      </c>
      <c r="E20" s="35" t="s">
        <v>172</v>
      </c>
      <c r="F20" s="39" t="s">
        <v>186</v>
      </c>
      <c r="I20" t="s">
        <v>203</v>
      </c>
    </row>
    <row r="21" spans="2:9" x14ac:dyDescent="0.25">
      <c r="B21" t="s">
        <v>225</v>
      </c>
      <c r="C21" s="14" t="s">
        <v>150</v>
      </c>
      <c r="E21" s="35" t="s">
        <v>172</v>
      </c>
      <c r="F21" s="39" t="s">
        <v>187</v>
      </c>
    </row>
    <row r="22" spans="2:9" ht="15" customHeight="1" x14ac:dyDescent="0.25">
      <c r="B22" t="s">
        <v>225</v>
      </c>
      <c r="C22" s="14" t="s">
        <v>151</v>
      </c>
      <c r="E22" s="35" t="s">
        <v>173</v>
      </c>
      <c r="F22" s="40" t="s">
        <v>188</v>
      </c>
    </row>
    <row r="23" spans="2:9" x14ac:dyDescent="0.25">
      <c r="B23" t="s">
        <v>226</v>
      </c>
      <c r="C23" s="14" t="s">
        <v>152</v>
      </c>
    </row>
    <row r="24" spans="2:9" x14ac:dyDescent="0.25">
      <c r="B24" t="s">
        <v>226</v>
      </c>
      <c r="C24" s="14" t="s">
        <v>153</v>
      </c>
      <c r="E24" s="35" t="s">
        <v>169</v>
      </c>
    </row>
    <row r="25" spans="2:9" x14ac:dyDescent="0.25">
      <c r="B25" t="s">
        <v>226</v>
      </c>
      <c r="C25" s="14" t="s">
        <v>155</v>
      </c>
      <c r="E25" s="35" t="s">
        <v>170</v>
      </c>
    </row>
    <row r="26" spans="2:9" x14ac:dyDescent="0.25">
      <c r="B26" t="s">
        <v>226</v>
      </c>
      <c r="C26" s="14" t="s">
        <v>154</v>
      </c>
      <c r="E26" s="35" t="s">
        <v>171</v>
      </c>
    </row>
    <row r="27" spans="2:9" x14ac:dyDescent="0.25">
      <c r="B27" t="s">
        <v>226</v>
      </c>
      <c r="C27" s="14" t="s">
        <v>156</v>
      </c>
      <c r="E27" s="35" t="s">
        <v>172</v>
      </c>
    </row>
    <row r="28" spans="2:9" ht="15" customHeight="1" x14ac:dyDescent="0.25">
      <c r="B28" t="s">
        <v>227</v>
      </c>
      <c r="C28" s="14" t="s">
        <v>157</v>
      </c>
      <c r="E28" s="35" t="s">
        <v>173</v>
      </c>
    </row>
    <row r="29" spans="2:9" x14ac:dyDescent="0.25">
      <c r="B29" t="s">
        <v>227</v>
      </c>
      <c r="C29" s="14" t="s">
        <v>158</v>
      </c>
    </row>
    <row r="30" spans="2:9" x14ac:dyDescent="0.25">
      <c r="B30" t="s">
        <v>227</v>
      </c>
      <c r="C30" s="14" t="s">
        <v>159</v>
      </c>
    </row>
    <row r="31" spans="2:9" x14ac:dyDescent="0.25">
      <c r="B31" t="s">
        <v>146</v>
      </c>
      <c r="C31" s="47" t="s">
        <v>220</v>
      </c>
    </row>
    <row r="32" spans="2:9" ht="15" customHeight="1" x14ac:dyDescent="0.25">
      <c r="B32" t="s">
        <v>146</v>
      </c>
      <c r="C32" s="47" t="s">
        <v>216</v>
      </c>
    </row>
    <row r="33" spans="2:3" x14ac:dyDescent="0.25">
      <c r="B33" t="s">
        <v>146</v>
      </c>
      <c r="C33" s="47" t="s">
        <v>217</v>
      </c>
    </row>
    <row r="34" spans="2:3" x14ac:dyDescent="0.25">
      <c r="B34" t="s">
        <v>146</v>
      </c>
      <c r="C34" s="47" t="s">
        <v>218</v>
      </c>
    </row>
    <row r="35" spans="2:3" ht="15" customHeight="1" x14ac:dyDescent="0.25">
      <c r="B35" t="s">
        <v>146</v>
      </c>
      <c r="C35" s="47" t="s">
        <v>219</v>
      </c>
    </row>
    <row r="36" spans="2:3" x14ac:dyDescent="0.25">
      <c r="B36" t="s">
        <v>228</v>
      </c>
    </row>
    <row r="39" spans="2:3" ht="15" customHeight="1" x14ac:dyDescent="0.25"/>
    <row r="42" spans="2:3" ht="15" customHeight="1" x14ac:dyDescent="0.25"/>
    <row r="49" spans="6:6" ht="15" customHeight="1" x14ac:dyDescent="0.25"/>
    <row r="52" spans="6:6" x14ac:dyDescent="0.25">
      <c r="F52" s="36"/>
    </row>
    <row r="53" spans="6:6" ht="15" customHeight="1" x14ac:dyDescent="0.25">
      <c r="F53" s="36"/>
    </row>
    <row r="54" spans="6:6" x14ac:dyDescent="0.25">
      <c r="F54" s="36"/>
    </row>
    <row r="55" spans="6:6" x14ac:dyDescent="0.25">
      <c r="F55" s="36"/>
    </row>
    <row r="56" spans="6:6" ht="15.75" thickBot="1" x14ac:dyDescent="0.3">
      <c r="F56" s="37"/>
    </row>
    <row r="63" spans="6:6" ht="15" customHeight="1" x14ac:dyDescent="0.25"/>
    <row r="69" ht="15" customHeight="1" x14ac:dyDescent="0.25"/>
  </sheetData>
  <mergeCells count="13">
    <mergeCell ref="AK1:AK2"/>
    <mergeCell ref="M1:O1"/>
    <mergeCell ref="P1:P2"/>
    <mergeCell ref="Q1:T1"/>
    <mergeCell ref="U1:W1"/>
    <mergeCell ref="X1:AI1"/>
    <mergeCell ref="AJ1:AJ2"/>
    <mergeCell ref="K1:L1"/>
    <mergeCell ref="A1:A2"/>
    <mergeCell ref="B1:C1"/>
    <mergeCell ref="E1:F1"/>
    <mergeCell ref="G1:H1"/>
    <mergeCell ref="I1:J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28"/>
  <sheetViews>
    <sheetView topLeftCell="A2" workbookViewId="0">
      <selection activeCell="A24" sqref="A24:A25"/>
    </sheetView>
  </sheetViews>
  <sheetFormatPr baseColWidth="10" defaultRowHeight="15" x14ac:dyDescent="0.25"/>
  <cols>
    <col min="1" max="1" width="114.7109375" bestFit="1" customWidth="1"/>
  </cols>
  <sheetData>
    <row r="1" spans="1:1" x14ac:dyDescent="0.25">
      <c r="A1" s="16" t="s">
        <v>123</v>
      </c>
    </row>
    <row r="2" spans="1:1" x14ac:dyDescent="0.25">
      <c r="A2" s="17" t="s">
        <v>122</v>
      </c>
    </row>
    <row r="3" spans="1:1" x14ac:dyDescent="0.25">
      <c r="A3" s="18" t="s">
        <v>121</v>
      </c>
    </row>
    <row r="4" spans="1:1" x14ac:dyDescent="0.25">
      <c r="A4" s="19" t="s">
        <v>120</v>
      </c>
    </row>
    <row r="5" spans="1:1" x14ac:dyDescent="0.25">
      <c r="A5" s="19" t="s">
        <v>119</v>
      </c>
    </row>
    <row r="6" spans="1:1" x14ac:dyDescent="0.25">
      <c r="A6" s="17" t="s">
        <v>118</v>
      </c>
    </row>
    <row r="7" spans="1:1" x14ac:dyDescent="0.25">
      <c r="A7" s="18" t="s">
        <v>117</v>
      </c>
    </row>
    <row r="8" spans="1:1" ht="15.75" thickBot="1" x14ac:dyDescent="0.3">
      <c r="A8" s="20" t="s">
        <v>106</v>
      </c>
    </row>
    <row r="9" spans="1:1" ht="15.75" thickBot="1" x14ac:dyDescent="0.3">
      <c r="A9" s="21"/>
    </row>
    <row r="10" spans="1:1" x14ac:dyDescent="0.25">
      <c r="A10" s="22" t="s">
        <v>124</v>
      </c>
    </row>
    <row r="11" spans="1:1" x14ac:dyDescent="0.25">
      <c r="A11" s="17" t="s">
        <v>116</v>
      </c>
    </row>
    <row r="12" spans="1:1" x14ac:dyDescent="0.25">
      <c r="A12" s="17" t="s">
        <v>115</v>
      </c>
    </row>
    <row r="13" spans="1:1" x14ac:dyDescent="0.25">
      <c r="A13" s="17" t="s">
        <v>114</v>
      </c>
    </row>
    <row r="14" spans="1:1" x14ac:dyDescent="0.25">
      <c r="A14" s="17" t="s">
        <v>113</v>
      </c>
    </row>
    <row r="15" spans="1:1" x14ac:dyDescent="0.25">
      <c r="A15" s="17" t="s">
        <v>112</v>
      </c>
    </row>
    <row r="16" spans="1:1" x14ac:dyDescent="0.25">
      <c r="A16" s="17" t="s">
        <v>111</v>
      </c>
    </row>
    <row r="17" spans="1:1" x14ac:dyDescent="0.25">
      <c r="A17" s="17" t="s">
        <v>110</v>
      </c>
    </row>
    <row r="18" spans="1:1" x14ac:dyDescent="0.25">
      <c r="A18" s="17" t="s">
        <v>109</v>
      </c>
    </row>
    <row r="19" spans="1:1" x14ac:dyDescent="0.25">
      <c r="A19" s="17" t="s">
        <v>108</v>
      </c>
    </row>
    <row r="20" spans="1:1" x14ac:dyDescent="0.25">
      <c r="A20" s="17" t="s">
        <v>107</v>
      </c>
    </row>
    <row r="21" spans="1:1" ht="15.75" thickBot="1" x14ac:dyDescent="0.3">
      <c r="A21" s="20" t="s">
        <v>106</v>
      </c>
    </row>
    <row r="22" spans="1:1" ht="15.75" thickBot="1" x14ac:dyDescent="0.3"/>
    <row r="23" spans="1:1" x14ac:dyDescent="0.25">
      <c r="A23" s="22" t="s">
        <v>125</v>
      </c>
    </row>
    <row r="24" spans="1:1" x14ac:dyDescent="0.25">
      <c r="A24" s="17" t="s">
        <v>105</v>
      </c>
    </row>
    <row r="25" spans="1:1" ht="15.75" thickBot="1" x14ac:dyDescent="0.3">
      <c r="A25" s="20" t="s">
        <v>104</v>
      </c>
    </row>
    <row r="28" spans="1:1" x14ac:dyDescent="0.25">
      <c r="A28" s="1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8"/>
  <sheetViews>
    <sheetView topLeftCell="B5" workbookViewId="0">
      <pane xSplit="1" ySplit="1" topLeftCell="C6" activePane="bottomRight" state="frozen"/>
      <selection activeCell="B5" sqref="B5"/>
      <selection pane="topRight" activeCell="C5" sqref="C5"/>
      <selection pane="bottomLeft" activeCell="B6" sqref="B6"/>
      <selection pane="bottomRight" activeCell="E10" sqref="E10"/>
    </sheetView>
  </sheetViews>
  <sheetFormatPr baseColWidth="10" defaultRowHeight="15" x14ac:dyDescent="0.25"/>
  <cols>
    <col min="2" max="2" width="32.28515625" customWidth="1"/>
    <col min="3" max="3" width="13.140625" bestFit="1" customWidth="1"/>
    <col min="4" max="4" width="12" bestFit="1" customWidth="1"/>
    <col min="5" max="5" width="13.140625" style="15" bestFit="1" customWidth="1"/>
    <col min="7" max="7" width="13" bestFit="1" customWidth="1"/>
    <col min="8" max="8" width="16.85546875" customWidth="1"/>
    <col min="9" max="9" width="15.85546875" style="376" customWidth="1"/>
    <col min="10" max="10" width="14.42578125" style="376" customWidth="1"/>
    <col min="11" max="11" width="15" style="376" customWidth="1"/>
    <col min="12" max="12" width="12" bestFit="1" customWidth="1"/>
  </cols>
  <sheetData>
    <row r="1" spans="1:16" x14ac:dyDescent="0.25">
      <c r="A1" t="s">
        <v>639</v>
      </c>
    </row>
    <row r="2" spans="1:16" x14ac:dyDescent="0.25">
      <c r="A2" t="s">
        <v>640</v>
      </c>
      <c r="C2" s="358">
        <v>1000000</v>
      </c>
      <c r="G2" s="374"/>
      <c r="J2" s="377"/>
    </row>
    <row r="3" spans="1:16" x14ac:dyDescent="0.25">
      <c r="A3" t="s">
        <v>641</v>
      </c>
      <c r="C3" s="358">
        <v>1369103.7</v>
      </c>
      <c r="D3">
        <v>21666.66</v>
      </c>
      <c r="E3" s="15">
        <v>59000</v>
      </c>
      <c r="F3">
        <v>174999</v>
      </c>
      <c r="G3">
        <v>64900</v>
      </c>
      <c r="H3">
        <v>24450</v>
      </c>
      <c r="J3" s="377"/>
    </row>
    <row r="4" spans="1:16" x14ac:dyDescent="0.25">
      <c r="D4" s="358">
        <f>21666.66*1.12</f>
        <v>24266.659200000002</v>
      </c>
      <c r="E4" s="15">
        <f>E3*1.12</f>
        <v>66080</v>
      </c>
      <c r="F4">
        <f>+F3*1.12</f>
        <v>195998.88</v>
      </c>
      <c r="G4">
        <f>+G3*1.12</f>
        <v>72688</v>
      </c>
      <c r="H4">
        <f>+H3*1.12</f>
        <v>27384.000000000004</v>
      </c>
      <c r="J4" s="378"/>
    </row>
    <row r="5" spans="1:16" x14ac:dyDescent="0.25">
      <c r="A5" s="359">
        <v>73</v>
      </c>
      <c r="B5" s="360" t="s">
        <v>642</v>
      </c>
      <c r="C5" s="361">
        <f>+C6+C9+C11+C15</f>
        <v>1000000</v>
      </c>
      <c r="D5" s="361" t="s">
        <v>659</v>
      </c>
      <c r="E5" s="361" t="s">
        <v>637</v>
      </c>
      <c r="F5" s="361" t="s">
        <v>695</v>
      </c>
      <c r="G5" s="361" t="s">
        <v>696</v>
      </c>
      <c r="H5" s="361" t="s">
        <v>660</v>
      </c>
      <c r="I5" s="379" t="s">
        <v>675</v>
      </c>
      <c r="J5" s="379" t="s">
        <v>697</v>
      </c>
      <c r="K5" s="379" t="s">
        <v>676</v>
      </c>
    </row>
    <row r="6" spans="1:16" x14ac:dyDescent="0.25">
      <c r="A6" s="359">
        <v>7302</v>
      </c>
      <c r="B6" s="363" t="s">
        <v>531</v>
      </c>
      <c r="C6" s="362">
        <f>+C7+C8</f>
        <v>35700</v>
      </c>
      <c r="D6" s="362">
        <f t="shared" ref="D6" si="0">+D7+D8</f>
        <v>-17000</v>
      </c>
      <c r="E6" s="362">
        <f>+E7+E8</f>
        <v>18700</v>
      </c>
      <c r="F6" s="362">
        <f>+F7</f>
        <v>10659.98</v>
      </c>
      <c r="G6" s="362">
        <v>0</v>
      </c>
      <c r="H6" s="362">
        <f>+H7</f>
        <v>8040.02</v>
      </c>
      <c r="I6" s="380">
        <f>+I7</f>
        <v>0</v>
      </c>
      <c r="J6" s="380">
        <f>+J7</f>
        <v>8040.02</v>
      </c>
      <c r="K6" s="380">
        <f>+K7</f>
        <v>8040.02</v>
      </c>
    </row>
    <row r="7" spans="1:16" ht="14.25" customHeight="1" x14ac:dyDescent="0.25">
      <c r="A7" s="75">
        <v>730217</v>
      </c>
      <c r="B7" s="421" t="s">
        <v>643</v>
      </c>
      <c r="C7" s="365">
        <v>12700</v>
      </c>
      <c r="D7" s="365">
        <v>6000</v>
      </c>
      <c r="E7" s="417">
        <f>+C7+D7</f>
        <v>18700</v>
      </c>
      <c r="F7" s="365">
        <v>10659.98</v>
      </c>
      <c r="G7" s="365">
        <v>0</v>
      </c>
      <c r="H7" s="365">
        <f>+E7-F7-G7</f>
        <v>8040.02</v>
      </c>
      <c r="I7" s="381"/>
      <c r="J7" s="365">
        <v>8040.02</v>
      </c>
      <c r="K7" s="381">
        <f>+J7</f>
        <v>8040.02</v>
      </c>
      <c r="L7" t="s">
        <v>666</v>
      </c>
    </row>
    <row r="8" spans="1:16" ht="36.75" hidden="1" x14ac:dyDescent="0.25">
      <c r="A8" s="75">
        <v>730218</v>
      </c>
      <c r="B8" s="364" t="s">
        <v>644</v>
      </c>
      <c r="C8" s="365">
        <v>23000</v>
      </c>
      <c r="D8" s="365">
        <v>-23000</v>
      </c>
      <c r="E8" s="417">
        <f>+C8+D8</f>
        <v>0</v>
      </c>
      <c r="F8" s="365">
        <v>23000</v>
      </c>
      <c r="G8" s="365">
        <v>23000</v>
      </c>
      <c r="H8" s="365">
        <v>23000</v>
      </c>
      <c r="I8" s="381"/>
      <c r="J8" s="381"/>
      <c r="K8" s="381"/>
    </row>
    <row r="9" spans="1:16" ht="24.75" x14ac:dyDescent="0.25">
      <c r="A9" s="359">
        <v>7304</v>
      </c>
      <c r="B9" s="363" t="s">
        <v>645</v>
      </c>
      <c r="C9" s="362">
        <f>+C10</f>
        <v>130000</v>
      </c>
      <c r="D9" s="362">
        <f t="shared" ref="D9:G9" si="1">+D10</f>
        <v>-11275.4</v>
      </c>
      <c r="E9" s="362">
        <f>+E10</f>
        <v>118724.6</v>
      </c>
      <c r="F9" s="362">
        <f t="shared" si="1"/>
        <v>10180.799999999999</v>
      </c>
      <c r="G9" s="362">
        <f t="shared" si="1"/>
        <v>100072</v>
      </c>
      <c r="H9" s="362">
        <f>+H10</f>
        <v>8471.8000000000029</v>
      </c>
      <c r="I9" s="380">
        <f>+I10</f>
        <v>8471.8000000000029</v>
      </c>
      <c r="J9" s="380">
        <f>+J10</f>
        <v>100072</v>
      </c>
      <c r="K9" s="380">
        <f>+K10</f>
        <v>108543.8</v>
      </c>
    </row>
    <row r="10" spans="1:16" ht="48.75" x14ac:dyDescent="0.25">
      <c r="A10" s="75">
        <v>730499</v>
      </c>
      <c r="B10" s="421" t="s">
        <v>646</v>
      </c>
      <c r="C10" s="365">
        <v>130000</v>
      </c>
      <c r="D10" s="365">
        <f>-5000-6275.4</f>
        <v>-11275.4</v>
      </c>
      <c r="E10" s="417">
        <f>+C10+D10</f>
        <v>118724.6</v>
      </c>
      <c r="F10" s="365">
        <f>5980.8+4200</f>
        <v>10180.799999999999</v>
      </c>
      <c r="G10" s="365">
        <f>72688+27384</f>
        <v>100072</v>
      </c>
      <c r="H10" s="365">
        <f>+E10-F10-G10</f>
        <v>8471.8000000000029</v>
      </c>
      <c r="I10" s="381">
        <f>+H10</f>
        <v>8471.8000000000029</v>
      </c>
      <c r="J10" s="381">
        <f>72688+27384</f>
        <v>100072</v>
      </c>
      <c r="K10" s="383">
        <f>+I10+J10</f>
        <v>108543.8</v>
      </c>
      <c r="L10" t="s">
        <v>667</v>
      </c>
    </row>
    <row r="11" spans="1:16" s="409" customFormat="1" ht="36" x14ac:dyDescent="0.25">
      <c r="A11" s="404">
        <v>7306</v>
      </c>
      <c r="B11" s="405" t="s">
        <v>534</v>
      </c>
      <c r="C11" s="406">
        <f>+C12+C13+C14</f>
        <v>163000</v>
      </c>
      <c r="D11" s="406">
        <f t="shared" ref="D11:H11" si="2">+D12+D13+D14</f>
        <v>96240.329999999987</v>
      </c>
      <c r="E11" s="406">
        <f t="shared" si="2"/>
        <v>259240.33</v>
      </c>
      <c r="F11" s="406">
        <f t="shared" si="2"/>
        <v>185348.33000000002</v>
      </c>
      <c r="G11" s="406">
        <f t="shared" si="2"/>
        <v>73892</v>
      </c>
      <c r="H11" s="406">
        <f t="shared" si="2"/>
        <v>-2.9103830456733704E-11</v>
      </c>
      <c r="I11" s="407">
        <f>+I12+I13+I14</f>
        <v>0</v>
      </c>
      <c r="J11" s="407">
        <f t="shared" ref="J11:K11" si="3">+J12+J13+J14</f>
        <v>73892</v>
      </c>
      <c r="K11" s="407">
        <f t="shared" si="3"/>
        <v>73892</v>
      </c>
      <c r="L11" s="408"/>
    </row>
    <row r="12" spans="1:16" s="409" customFormat="1" ht="36" customHeight="1" x14ac:dyDescent="0.25">
      <c r="A12" s="94">
        <v>730601</v>
      </c>
      <c r="B12" s="422" t="s">
        <v>647</v>
      </c>
      <c r="C12" s="402">
        <v>60000</v>
      </c>
      <c r="D12" s="402">
        <f>52484.93+4000+7400+26790+6275.4</f>
        <v>96950.329999999987</v>
      </c>
      <c r="E12" s="418">
        <f>+C12+D12</f>
        <v>156950.32999999999</v>
      </c>
      <c r="F12" s="402">
        <f>3800+59832.82+3800+3800+35899.68+26304.58+23513.25</f>
        <v>156950.33000000002</v>
      </c>
      <c r="G12" s="402">
        <f>+E12-F12</f>
        <v>0</v>
      </c>
      <c r="H12" s="402">
        <f>+E12-F12-G12</f>
        <v>-2.9103830456733704E-11</v>
      </c>
      <c r="I12" s="403">
        <v>0</v>
      </c>
      <c r="J12" s="403">
        <v>0</v>
      </c>
      <c r="K12" s="403">
        <v>0</v>
      </c>
      <c r="L12" s="410" t="s">
        <v>668</v>
      </c>
    </row>
    <row r="13" spans="1:16" s="409" customFormat="1" ht="24" x14ac:dyDescent="0.25">
      <c r="A13" s="94">
        <v>730605</v>
      </c>
      <c r="B13" s="422" t="s">
        <v>648</v>
      </c>
      <c r="C13" s="402">
        <v>100000</v>
      </c>
      <c r="D13" s="402">
        <f>26790-30000</f>
        <v>-3210</v>
      </c>
      <c r="E13" s="418">
        <f>+C13+D13</f>
        <v>96790</v>
      </c>
      <c r="F13" s="402">
        <f>26790</f>
        <v>26790</v>
      </c>
      <c r="G13" s="402">
        <f>+E13-F13</f>
        <v>70000</v>
      </c>
      <c r="H13" s="402">
        <v>0</v>
      </c>
      <c r="I13" s="403">
        <v>0</v>
      </c>
      <c r="J13" s="403">
        <v>70000</v>
      </c>
      <c r="K13" s="403">
        <f>+J13</f>
        <v>70000</v>
      </c>
      <c r="L13" s="410" t="s">
        <v>669</v>
      </c>
    </row>
    <row r="14" spans="1:16" s="409" customFormat="1" ht="36" x14ac:dyDescent="0.2">
      <c r="A14" s="94">
        <v>730606</v>
      </c>
      <c r="B14" s="423" t="s">
        <v>649</v>
      </c>
      <c r="C14" s="402">
        <v>3000</v>
      </c>
      <c r="D14" s="402">
        <v>2500</v>
      </c>
      <c r="E14" s="418">
        <f t="shared" ref="E14" si="4">+C14+D14</f>
        <v>5500</v>
      </c>
      <c r="F14" s="402">
        <v>1608</v>
      </c>
      <c r="G14" s="402">
        <f>+E14-F14</f>
        <v>3892</v>
      </c>
      <c r="H14" s="402">
        <v>0</v>
      </c>
      <c r="I14" s="403">
        <v>0</v>
      </c>
      <c r="J14" s="403">
        <v>3892</v>
      </c>
      <c r="K14" s="403">
        <f>+J14</f>
        <v>3892</v>
      </c>
      <c r="L14" s="411"/>
    </row>
    <row r="15" spans="1:16" ht="24.75" x14ac:dyDescent="0.25">
      <c r="A15" s="359">
        <v>7308</v>
      </c>
      <c r="B15" s="363" t="s">
        <v>650</v>
      </c>
      <c r="C15" s="362">
        <f>+C16</f>
        <v>671300</v>
      </c>
      <c r="D15" s="362">
        <f t="shared" ref="D15" si="5">+D16</f>
        <v>327902.23</v>
      </c>
      <c r="E15" s="362">
        <f>+E17+E18+E19+E20+E21+E22</f>
        <v>999002.23</v>
      </c>
      <c r="F15" s="362">
        <f>+F17+F18+F19+F20+F21+F22</f>
        <v>518683.75000000006</v>
      </c>
      <c r="G15" s="362">
        <f>+G17+G18+G19+G20+G21+G22</f>
        <v>464725.97999999992</v>
      </c>
      <c r="H15" s="362">
        <f>+E15-F15-G15</f>
        <v>15592.5</v>
      </c>
      <c r="I15" s="380">
        <f>+I17+I18+I19+I20+I21+I22</f>
        <v>167263.09999999998</v>
      </c>
      <c r="J15" s="385">
        <f>+J17+J18+J19+J20+J21+J22</f>
        <v>313055.37999999995</v>
      </c>
      <c r="K15" s="385">
        <f>+K17+K18+K19+K20+K21+K22</f>
        <v>480318.47999999992</v>
      </c>
      <c r="L15" s="412"/>
      <c r="P15" t="s">
        <v>665</v>
      </c>
    </row>
    <row r="16" spans="1:16" ht="60.75" hidden="1" x14ac:dyDescent="0.25">
      <c r="A16" s="367">
        <v>730811</v>
      </c>
      <c r="B16" s="368" t="s">
        <v>526</v>
      </c>
      <c r="C16" s="369">
        <f>+C17+C18+C19+C20+C21+C22</f>
        <v>671300</v>
      </c>
      <c r="D16" s="369">
        <f>+D17+D18+D19+D20+D21+D22+D24</f>
        <v>327902.23</v>
      </c>
      <c r="E16" s="369">
        <f t="shared" ref="E16:H16" si="6">+E17+E18+E19+E20+E21+E22+E24</f>
        <v>999202.23</v>
      </c>
      <c r="F16" s="369">
        <f t="shared" si="6"/>
        <v>518819.77000000008</v>
      </c>
      <c r="G16" s="369">
        <f t="shared" si="6"/>
        <v>464789.9599999999</v>
      </c>
      <c r="H16" s="369">
        <f t="shared" si="6"/>
        <v>15656.479999999952</v>
      </c>
      <c r="I16" s="380"/>
      <c r="J16" s="382"/>
      <c r="K16" s="380"/>
    </row>
    <row r="17" spans="1:16" ht="24.75" x14ac:dyDescent="0.25">
      <c r="A17" s="370" t="s">
        <v>651</v>
      </c>
      <c r="B17" s="424" t="s">
        <v>664</v>
      </c>
      <c r="C17" s="371">
        <f>160000-10000</f>
        <v>150000</v>
      </c>
      <c r="D17" s="371">
        <f>-16630.36+87278.74</f>
        <v>70648.38</v>
      </c>
      <c r="E17" s="419">
        <f>+C17+D17</f>
        <v>220648.38</v>
      </c>
      <c r="F17" s="371">
        <f>6805.86+13000.87</f>
        <v>19806.73</v>
      </c>
      <c r="G17" s="371">
        <f>174999*1.12</f>
        <v>195998.88</v>
      </c>
      <c r="H17" s="371">
        <f>+E17-F17-G17</f>
        <v>4842.7699999999895</v>
      </c>
      <c r="I17" s="383">
        <f>+H17</f>
        <v>4842.7699999999895</v>
      </c>
      <c r="J17" s="384">
        <f>+G17</f>
        <v>195998.88</v>
      </c>
      <c r="K17" s="383">
        <f>+I17+J17</f>
        <v>200841.65</v>
      </c>
      <c r="L17" t="s">
        <v>670</v>
      </c>
    </row>
    <row r="18" spans="1:16" ht="26.25" customHeight="1" x14ac:dyDescent="0.25">
      <c r="A18" s="370" t="s">
        <v>651</v>
      </c>
      <c r="B18" s="424" t="s">
        <v>663</v>
      </c>
      <c r="C18" s="371">
        <f>10000</f>
        <v>10000</v>
      </c>
      <c r="D18" s="371">
        <v>16630.36</v>
      </c>
      <c r="E18" s="419">
        <f>+C18+D18</f>
        <v>26630.36</v>
      </c>
      <c r="F18" s="371">
        <f>6606.52</f>
        <v>6606.52</v>
      </c>
      <c r="G18" s="371">
        <f>+E18-F18</f>
        <v>20023.84</v>
      </c>
      <c r="H18" s="371">
        <f t="shared" ref="H18:H22" si="7">+E18-F18-G18</f>
        <v>0</v>
      </c>
      <c r="I18" s="383">
        <f>+H18</f>
        <v>0</v>
      </c>
      <c r="J18" s="384">
        <f>26630.36-6606.52</f>
        <v>20023.84</v>
      </c>
      <c r="K18" s="383">
        <f>+J18</f>
        <v>20023.84</v>
      </c>
      <c r="L18" t="s">
        <v>671</v>
      </c>
    </row>
    <row r="19" spans="1:16" ht="36.75" x14ac:dyDescent="0.25">
      <c r="A19" s="370" t="s">
        <v>652</v>
      </c>
      <c r="B19" s="424" t="s">
        <v>653</v>
      </c>
      <c r="C19" s="371">
        <f>40000+60000</f>
        <v>100000</v>
      </c>
      <c r="D19" s="371">
        <f>42448.77+30000</f>
        <v>72448.76999999999</v>
      </c>
      <c r="E19" s="419">
        <f t="shared" ref="E19:E22" si="8">+C19+D19</f>
        <v>172448.77</v>
      </c>
      <c r="F19" s="371">
        <f>63561.27+6109.4+11443.87+7764.61+3570.48</f>
        <v>92449.62999999999</v>
      </c>
      <c r="G19" s="371">
        <f>59000*1.12+1635+4145</f>
        <v>71860</v>
      </c>
      <c r="H19" s="371">
        <f t="shared" si="7"/>
        <v>8139.1399999999994</v>
      </c>
      <c r="I19" s="383">
        <f>+H19</f>
        <v>8139.1399999999994</v>
      </c>
      <c r="J19" s="384">
        <f>+G19</f>
        <v>71860</v>
      </c>
      <c r="K19" s="383">
        <f>+I19+J19</f>
        <v>79999.14</v>
      </c>
      <c r="L19" s="374" t="s">
        <v>672</v>
      </c>
    </row>
    <row r="20" spans="1:16" ht="35.25" customHeight="1" x14ac:dyDescent="0.25">
      <c r="A20" s="370" t="s">
        <v>654</v>
      </c>
      <c r="B20" s="424" t="s">
        <v>655</v>
      </c>
      <c r="C20" s="371">
        <v>100000</v>
      </c>
      <c r="D20" s="371">
        <f>235980-200+61024.12</f>
        <v>296804.12</v>
      </c>
      <c r="E20" s="419">
        <f t="shared" si="8"/>
        <v>396804.12</v>
      </c>
      <c r="F20" s="371">
        <f>232760.93+7701.5+4560+6124.08+110880+6657.84+174.31+431</f>
        <v>369289.66000000003</v>
      </c>
      <c r="G20" s="371">
        <f>24666.66+431+75</f>
        <v>25172.66</v>
      </c>
      <c r="H20" s="371">
        <f t="shared" si="7"/>
        <v>2341.7999999999629</v>
      </c>
      <c r="I20" s="383">
        <f>+H20</f>
        <v>2341.7999999999629</v>
      </c>
      <c r="J20" s="384">
        <f>+G20</f>
        <v>25172.66</v>
      </c>
      <c r="K20" s="385">
        <f>+I20+J20</f>
        <v>27514.459999999963</v>
      </c>
      <c r="L20" t="s">
        <v>673</v>
      </c>
      <c r="P20" t="s">
        <v>694</v>
      </c>
    </row>
    <row r="21" spans="1:16" ht="24.75" x14ac:dyDescent="0.25">
      <c r="A21" s="370" t="s">
        <v>656</v>
      </c>
      <c r="B21" s="424" t="s">
        <v>657</v>
      </c>
      <c r="C21" s="371">
        <v>300000</v>
      </c>
      <c r="D21" s="371">
        <f>-87278.74-61024.12-26.54</f>
        <v>-148329.40000000002</v>
      </c>
      <c r="E21" s="419">
        <f t="shared" si="8"/>
        <v>151670.59999999998</v>
      </c>
      <c r="F21" s="371">
        <v>0</v>
      </c>
      <c r="G21" s="371">
        <f>+E21</f>
        <v>151670.59999999998</v>
      </c>
      <c r="H21" s="371">
        <f t="shared" si="7"/>
        <v>0</v>
      </c>
      <c r="I21" s="383">
        <v>151670.6</v>
      </c>
      <c r="J21" s="384">
        <v>0</v>
      </c>
      <c r="K21" s="383">
        <f>+I21</f>
        <v>151670.6</v>
      </c>
      <c r="L21" t="s">
        <v>674</v>
      </c>
    </row>
    <row r="22" spans="1:16" ht="24.75" x14ac:dyDescent="0.25">
      <c r="A22" s="370">
        <v>730812</v>
      </c>
      <c r="B22" s="424" t="s">
        <v>658</v>
      </c>
      <c r="C22" s="371">
        <v>11300</v>
      </c>
      <c r="D22" s="371">
        <v>19500</v>
      </c>
      <c r="E22" s="419">
        <f t="shared" si="8"/>
        <v>30800</v>
      </c>
      <c r="F22" s="371">
        <f>531.2+30000.01</f>
        <v>30531.21</v>
      </c>
      <c r="G22" s="371">
        <v>0</v>
      </c>
      <c r="H22" s="371">
        <f t="shared" si="7"/>
        <v>268.79000000000087</v>
      </c>
      <c r="I22" s="383">
        <f>+H22</f>
        <v>268.79000000000087</v>
      </c>
      <c r="J22" s="384">
        <v>0</v>
      </c>
      <c r="K22" s="383">
        <f>+I22-J22</f>
        <v>268.79000000000087</v>
      </c>
      <c r="L22" s="358">
        <f>21666.66*1.12</f>
        <v>24266.659200000002</v>
      </c>
    </row>
    <row r="23" spans="1:16" x14ac:dyDescent="0.25">
      <c r="A23" s="372">
        <v>7314</v>
      </c>
      <c r="B23" s="372" t="s">
        <v>250</v>
      </c>
      <c r="C23" s="361">
        <f>+C24</f>
        <v>0</v>
      </c>
      <c r="D23" s="361">
        <f t="shared" ref="D23:H23" si="9">+D24</f>
        <v>200</v>
      </c>
      <c r="E23" s="361">
        <f t="shared" si="9"/>
        <v>200</v>
      </c>
      <c r="F23" s="361">
        <f t="shared" si="9"/>
        <v>136.02000000000001</v>
      </c>
      <c r="G23" s="361">
        <f t="shared" si="9"/>
        <v>63.97999999999999</v>
      </c>
      <c r="H23" s="361">
        <f t="shared" si="9"/>
        <v>63.97999999999999</v>
      </c>
      <c r="I23" s="385">
        <f>+H23</f>
        <v>63.97999999999999</v>
      </c>
      <c r="J23" s="382"/>
      <c r="K23" s="385">
        <f>+I23</f>
        <v>63.97999999999999</v>
      </c>
    </row>
    <row r="24" spans="1:16" x14ac:dyDescent="0.25">
      <c r="A24" s="373" t="s">
        <v>661</v>
      </c>
      <c r="B24" s="373" t="s">
        <v>662</v>
      </c>
      <c r="C24" s="366">
        <v>0</v>
      </c>
      <c r="D24" s="366">
        <v>200</v>
      </c>
      <c r="E24" s="369">
        <f>+C24+D24</f>
        <v>200</v>
      </c>
      <c r="F24" s="366">
        <v>136.02000000000001</v>
      </c>
      <c r="G24" s="366">
        <f>+E24-F24</f>
        <v>63.97999999999999</v>
      </c>
      <c r="H24" s="366">
        <f>+G24</f>
        <v>63.97999999999999</v>
      </c>
      <c r="I24" s="381">
        <f>+H24</f>
        <v>63.97999999999999</v>
      </c>
      <c r="J24" s="413"/>
      <c r="K24" s="381">
        <f>+H24</f>
        <v>63.97999999999999</v>
      </c>
    </row>
    <row r="25" spans="1:16" x14ac:dyDescent="0.25">
      <c r="E25" s="420">
        <f>+E6+E9+E11+E15+E23</f>
        <v>1395867.16</v>
      </c>
      <c r="F25" s="375">
        <f t="shared" ref="F25:H25" si="10">+F6+F11+F15+F23+F9</f>
        <v>725008.88000000012</v>
      </c>
      <c r="G25" s="375">
        <f t="shared" si="10"/>
        <v>638753.96</v>
      </c>
      <c r="H25" s="375">
        <f t="shared" si="10"/>
        <v>32168.299999999974</v>
      </c>
      <c r="I25" s="414">
        <f>+I6+I9+I11+I15+I23</f>
        <v>175798.87999999998</v>
      </c>
      <c r="J25" s="386">
        <f>+J6+J9+J11+J15</f>
        <v>495059.39999999997</v>
      </c>
      <c r="K25" s="414">
        <f>+K6+K9+K11+K15+K23</f>
        <v>670858.27999999991</v>
      </c>
    </row>
    <row r="26" spans="1:16" ht="15.75" thickBot="1" x14ac:dyDescent="0.3">
      <c r="J26" s="387">
        <f>+I25+J25</f>
        <v>670858.27999999991</v>
      </c>
      <c r="K26" s="388"/>
    </row>
    <row r="27" spans="1:16" x14ac:dyDescent="0.25">
      <c r="C27" s="358"/>
      <c r="D27" s="358"/>
      <c r="E27" s="400"/>
      <c r="I27" s="376" t="s">
        <v>704</v>
      </c>
    </row>
    <row r="28" spans="1:16" x14ac:dyDescent="0.25">
      <c r="C28" s="358"/>
      <c r="D28" s="358"/>
      <c r="E28" s="400"/>
      <c r="J28" s="393"/>
      <c r="K28" s="389"/>
    </row>
    <row r="29" spans="1:16" x14ac:dyDescent="0.25">
      <c r="C29" s="358"/>
      <c r="D29" s="358"/>
      <c r="E29" s="400"/>
      <c r="H29" s="358"/>
      <c r="I29" s="376" t="s">
        <v>698</v>
      </c>
      <c r="J29" s="393">
        <f>+I10</f>
        <v>8471.8000000000029</v>
      </c>
      <c r="K29" s="390"/>
    </row>
    <row r="30" spans="1:16" x14ac:dyDescent="0.25">
      <c r="D30" s="374"/>
      <c r="H30" s="358"/>
      <c r="I30" s="376" t="s">
        <v>699</v>
      </c>
      <c r="J30" s="393">
        <f>+I17</f>
        <v>4842.7699999999895</v>
      </c>
      <c r="K30" s="389"/>
    </row>
    <row r="31" spans="1:16" x14ac:dyDescent="0.25">
      <c r="H31" s="358"/>
      <c r="I31" s="376" t="s">
        <v>700</v>
      </c>
      <c r="J31" s="393">
        <f>+I19</f>
        <v>8139.1399999999994</v>
      </c>
      <c r="K31" s="389"/>
    </row>
    <row r="32" spans="1:16" x14ac:dyDescent="0.25">
      <c r="H32" s="358"/>
      <c r="I32" s="376" t="s">
        <v>701</v>
      </c>
      <c r="J32" s="391">
        <f>+I20</f>
        <v>2341.7999999999629</v>
      </c>
      <c r="K32" s="392"/>
    </row>
    <row r="33" spans="3:11" x14ac:dyDescent="0.25">
      <c r="H33" s="358"/>
      <c r="I33" s="376" t="s">
        <v>702</v>
      </c>
      <c r="J33" s="393">
        <f>+I21</f>
        <v>151670.6</v>
      </c>
      <c r="K33" s="377"/>
    </row>
    <row r="34" spans="3:11" x14ac:dyDescent="0.25">
      <c r="I34" s="376" t="s">
        <v>703</v>
      </c>
      <c r="J34" s="391">
        <f>+I22</f>
        <v>268.79000000000087</v>
      </c>
      <c r="K34" s="377"/>
    </row>
    <row r="35" spans="3:11" x14ac:dyDescent="0.25">
      <c r="I35" s="376" t="s">
        <v>113</v>
      </c>
      <c r="J35" s="393">
        <f>+I24</f>
        <v>63.97999999999999</v>
      </c>
      <c r="K35" s="389"/>
    </row>
    <row r="36" spans="3:11" x14ac:dyDescent="0.25">
      <c r="J36" s="393">
        <f>SUM(J29:J35)</f>
        <v>175798.87999999998</v>
      </c>
    </row>
    <row r="37" spans="3:11" x14ac:dyDescent="0.25">
      <c r="J37" s="378">
        <f>-J33</f>
        <v>-151670.6</v>
      </c>
    </row>
    <row r="38" spans="3:11" x14ac:dyDescent="0.25">
      <c r="J38" s="415">
        <f>+J36+J37</f>
        <v>24128.27999999997</v>
      </c>
    </row>
    <row r="44" spans="3:11" x14ac:dyDescent="0.25">
      <c r="D44" s="397" t="s">
        <v>684</v>
      </c>
      <c r="E44" s="397" t="s">
        <v>685</v>
      </c>
      <c r="G44" s="397" t="s">
        <v>680</v>
      </c>
      <c r="H44" s="398" t="s">
        <v>683</v>
      </c>
      <c r="I44" s="399" t="s">
        <v>681</v>
      </c>
      <c r="J44" s="399" t="s">
        <v>682</v>
      </c>
    </row>
    <row r="45" spans="3:11" x14ac:dyDescent="0.25">
      <c r="F45" s="495" t="s">
        <v>691</v>
      </c>
      <c r="G45" s="495"/>
      <c r="H45" s="495"/>
      <c r="I45" s="495"/>
      <c r="J45" s="495"/>
    </row>
    <row r="46" spans="3:11" x14ac:dyDescent="0.25">
      <c r="G46" s="358">
        <v>80</v>
      </c>
      <c r="H46" s="358">
        <v>117</v>
      </c>
    </row>
    <row r="47" spans="3:11" x14ac:dyDescent="0.25">
      <c r="C47" s="15" t="s">
        <v>692</v>
      </c>
      <c r="G47" s="358">
        <f>+G46*70%</f>
        <v>56</v>
      </c>
      <c r="H47" s="358">
        <v>6.5</v>
      </c>
    </row>
    <row r="48" spans="3:11" x14ac:dyDescent="0.25">
      <c r="G48" s="358">
        <v>-25</v>
      </c>
      <c r="H48" s="358">
        <v>2.4500000000000002</v>
      </c>
    </row>
    <row r="49" spans="3:8" x14ac:dyDescent="0.25">
      <c r="C49" t="s">
        <v>686</v>
      </c>
      <c r="D49" s="358">
        <v>26</v>
      </c>
      <c r="E49" s="400"/>
      <c r="G49" s="358">
        <v>-10.84</v>
      </c>
      <c r="H49" s="358">
        <f>SUM(H45:H48)</f>
        <v>125.95</v>
      </c>
    </row>
    <row r="50" spans="3:8" x14ac:dyDescent="0.25">
      <c r="C50" t="s">
        <v>687</v>
      </c>
      <c r="D50" s="358"/>
      <c r="E50" s="400">
        <v>15</v>
      </c>
      <c r="G50" s="358">
        <v>-7</v>
      </c>
      <c r="H50" s="358"/>
    </row>
    <row r="51" spans="3:8" x14ac:dyDescent="0.25">
      <c r="C51" t="s">
        <v>688</v>
      </c>
      <c r="D51" s="358"/>
      <c r="E51" s="400">
        <v>20</v>
      </c>
      <c r="G51" s="395">
        <f>+G47+G48+G49+G50</f>
        <v>13.16</v>
      </c>
      <c r="H51" s="358">
        <f>80*3</f>
        <v>240</v>
      </c>
    </row>
    <row r="52" spans="3:8" x14ac:dyDescent="0.25">
      <c r="C52" t="s">
        <v>689</v>
      </c>
      <c r="D52" s="400">
        <f>SUM(D49:D51)</f>
        <v>26</v>
      </c>
      <c r="E52" s="400">
        <f>SUM(E49:E51)</f>
        <v>35</v>
      </c>
      <c r="F52" s="495" t="s">
        <v>690</v>
      </c>
      <c r="G52" s="495"/>
      <c r="H52" s="358">
        <f>+H51*70%</f>
        <v>168</v>
      </c>
    </row>
    <row r="53" spans="3:8" x14ac:dyDescent="0.25">
      <c r="F53" t="s">
        <v>677</v>
      </c>
      <c r="G53" s="358">
        <v>12.5</v>
      </c>
      <c r="H53" s="358">
        <f>+H49</f>
        <v>125.95</v>
      </c>
    </row>
    <row r="54" spans="3:8" x14ac:dyDescent="0.25">
      <c r="F54" t="s">
        <v>678</v>
      </c>
      <c r="G54" s="358">
        <v>10</v>
      </c>
      <c r="H54" s="396">
        <f>+H52-H53</f>
        <v>42.05</v>
      </c>
    </row>
    <row r="55" spans="3:8" x14ac:dyDescent="0.25">
      <c r="F55" t="s">
        <v>679</v>
      </c>
      <c r="G55" s="358">
        <v>20</v>
      </c>
      <c r="H55" s="358"/>
    </row>
    <row r="56" spans="3:8" x14ac:dyDescent="0.25">
      <c r="G56" s="375">
        <f>SUM(G53:G55)</f>
        <v>42.5</v>
      </c>
      <c r="H56" s="394">
        <f>30+33</f>
        <v>63</v>
      </c>
    </row>
    <row r="57" spans="3:8" x14ac:dyDescent="0.25">
      <c r="G57" s="374">
        <v>-13.16</v>
      </c>
      <c r="H57" s="396">
        <v>42.05</v>
      </c>
    </row>
    <row r="58" spans="3:8" x14ac:dyDescent="0.25">
      <c r="F58" s="15" t="s">
        <v>693</v>
      </c>
      <c r="G58" s="401">
        <f>+G56+G57</f>
        <v>29.34</v>
      </c>
      <c r="H58" s="400">
        <f>+H56-H57</f>
        <v>20.950000000000003</v>
      </c>
    </row>
  </sheetData>
  <mergeCells count="2">
    <mergeCell ref="F45:J45"/>
    <mergeCell ref="F52:G5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C000"/>
    <pageSetUpPr fitToPage="1"/>
  </sheetPr>
  <dimension ref="A1:AT112"/>
  <sheetViews>
    <sheetView showGridLines="0" tabSelected="1" zoomScale="60" zoomScaleNormal="60" zoomScaleSheetLayoutView="90" workbookViewId="0">
      <pane ySplit="21" topLeftCell="A22" activePane="bottomLeft" state="frozen"/>
      <selection activeCell="E1" sqref="E1"/>
      <selection pane="bottomLeft" activeCell="AG23" sqref="AG23"/>
    </sheetView>
  </sheetViews>
  <sheetFormatPr baseColWidth="10" defaultColWidth="11.42578125" defaultRowHeight="12.75" x14ac:dyDescent="0.25"/>
  <cols>
    <col min="1" max="1" width="4.42578125" style="126" customWidth="1"/>
    <col min="2" max="2" width="22.140625" style="129" customWidth="1"/>
    <col min="3" max="3" width="25.42578125" style="129" customWidth="1"/>
    <col min="4" max="4" width="22" style="150" customWidth="1"/>
    <col min="5" max="5" width="17.5703125" style="150" customWidth="1"/>
    <col min="6" max="6" width="44.42578125" style="150" customWidth="1"/>
    <col min="7" max="7" width="53.7109375" style="154" customWidth="1"/>
    <col min="8" max="9" width="32" style="129" hidden="1" customWidth="1"/>
    <col min="10" max="10" width="28.85546875" style="153" hidden="1" customWidth="1"/>
    <col min="11" max="11" width="33.5703125" style="126" hidden="1" customWidth="1"/>
    <col min="12" max="12" width="15.140625" style="129" hidden="1" customWidth="1"/>
    <col min="13" max="13" width="25" style="126" hidden="1" customWidth="1"/>
    <col min="14" max="14" width="22.42578125" style="129" hidden="1" customWidth="1"/>
    <col min="15" max="15" width="17.28515625" style="129" hidden="1" customWidth="1"/>
    <col min="16" max="16" width="24.42578125" style="129" hidden="1" customWidth="1"/>
    <col min="17" max="17" width="24.5703125" style="129" hidden="1" customWidth="1"/>
    <col min="18" max="18" width="20.5703125" style="126" hidden="1" customWidth="1"/>
    <col min="19" max="19" width="16.85546875" style="155" hidden="1" customWidth="1"/>
    <col min="20" max="20" width="13.5703125" style="155" hidden="1" customWidth="1"/>
    <col min="21" max="21" width="19" style="153" hidden="1" customWidth="1"/>
    <col min="22" max="22" width="21.42578125" style="153" hidden="1" customWidth="1"/>
    <col min="23" max="25" width="17.7109375" style="153" hidden="1" customWidth="1"/>
    <col min="26" max="26" width="23" style="153" customWidth="1"/>
    <col min="27" max="27" width="15.28515625" style="153" hidden="1" customWidth="1"/>
    <col min="28" max="28" width="14.140625" style="129" hidden="1" customWidth="1"/>
    <col min="29" max="29" width="11.85546875" style="129" hidden="1" customWidth="1"/>
    <col min="30" max="30" width="33.7109375" style="129" hidden="1" customWidth="1"/>
    <col min="31" max="42" width="16.85546875" style="153" customWidth="1"/>
    <col min="43" max="43" width="23.28515625" style="153" customWidth="1"/>
    <col min="44" max="44" width="20.5703125" style="126" customWidth="1"/>
    <col min="45" max="45" width="15.5703125" style="129" bestFit="1" customWidth="1"/>
    <col min="46" max="16384" width="11.42578125" style="129"/>
  </cols>
  <sheetData>
    <row r="1" spans="2:44" ht="21" x14ac:dyDescent="0.25">
      <c r="P1" s="318"/>
      <c r="Q1" s="307"/>
      <c r="AM1" s="153">
        <f>++Z22-AQ22</f>
        <v>0</v>
      </c>
    </row>
    <row r="2" spans="2:44" hidden="1" x14ac:dyDescent="0.25"/>
    <row r="3" spans="2:44" hidden="1" x14ac:dyDescent="0.25"/>
    <row r="4" spans="2:44" hidden="1" x14ac:dyDescent="0.25"/>
    <row r="5" spans="2:44" ht="27" hidden="1" customHeight="1" x14ac:dyDescent="0.25">
      <c r="B5" s="127" t="s">
        <v>213</v>
      </c>
      <c r="C5" s="128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</row>
    <row r="6" spans="2:44" ht="27" hidden="1" customHeight="1" x14ac:dyDescent="0.25">
      <c r="B6" s="130"/>
      <c r="C6" s="86" t="s">
        <v>242</v>
      </c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</row>
    <row r="7" spans="2:44" ht="27" hidden="1" customHeight="1" x14ac:dyDescent="0.25">
      <c r="B7" s="131"/>
      <c r="C7" s="86" t="s">
        <v>214</v>
      </c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</row>
    <row r="8" spans="2:44" ht="27" hidden="1" customHeight="1" x14ac:dyDescent="0.25">
      <c r="B8" s="166"/>
      <c r="C8" s="167" t="s">
        <v>215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</row>
    <row r="9" spans="2:44" ht="27" hidden="1" customHeight="1" x14ac:dyDescent="0.25"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</row>
    <row r="10" spans="2:44" ht="27" hidden="1" customHeight="1" x14ac:dyDescent="0.25"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</row>
    <row r="11" spans="2:44" ht="27" hidden="1" customHeight="1" x14ac:dyDescent="0.25"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</row>
    <row r="12" spans="2:44" ht="27" hidden="1" customHeight="1" x14ac:dyDescent="0.25"/>
    <row r="13" spans="2:44" hidden="1" x14ac:dyDescent="0.25"/>
    <row r="14" spans="2:44" ht="30" hidden="1" customHeight="1" x14ac:dyDescent="0.25">
      <c r="D14" s="129"/>
      <c r="E14" s="129"/>
      <c r="F14" s="129"/>
      <c r="G14" s="129"/>
      <c r="J14" s="129"/>
      <c r="K14" s="129"/>
      <c r="M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</row>
    <row r="15" spans="2:44" ht="15" customHeight="1" x14ac:dyDescent="0.25">
      <c r="D15" s="129"/>
      <c r="E15" s="129"/>
      <c r="F15" s="129"/>
      <c r="G15" s="129"/>
      <c r="J15" s="129"/>
      <c r="K15" s="129"/>
      <c r="M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E15" s="318"/>
      <c r="AF15" s="306"/>
      <c r="AG15" s="129"/>
      <c r="AH15" s="129"/>
      <c r="AI15" s="129"/>
      <c r="AJ15" s="129"/>
      <c r="AK15" s="129"/>
      <c r="AM15" s="435"/>
      <c r="AN15" s="129"/>
      <c r="AO15" s="129"/>
      <c r="AP15" s="129"/>
      <c r="AQ15" s="129"/>
    </row>
    <row r="16" spans="2:44" ht="27" customHeight="1" x14ac:dyDescent="0.25">
      <c r="D16" s="451" t="s">
        <v>705</v>
      </c>
      <c r="E16" s="451"/>
      <c r="F16" s="451"/>
      <c r="G16" s="451"/>
      <c r="H16" s="451"/>
      <c r="I16" s="451"/>
      <c r="J16" s="451"/>
      <c r="K16" s="451"/>
      <c r="L16" s="451"/>
      <c r="M16" s="451"/>
      <c r="N16" s="451"/>
      <c r="O16" s="451"/>
      <c r="P16" s="451"/>
      <c r="Q16" s="451"/>
      <c r="R16" s="451"/>
      <c r="S16" s="451"/>
      <c r="T16" s="451"/>
      <c r="U16" s="451"/>
      <c r="V16" s="451"/>
      <c r="W16" s="451"/>
      <c r="X16" s="451"/>
      <c r="Y16" s="451"/>
      <c r="Z16" s="451"/>
      <c r="AA16" s="451"/>
      <c r="AB16" s="451"/>
      <c r="AC16" s="451"/>
      <c r="AD16" s="451"/>
      <c r="AE16" s="451"/>
      <c r="AF16" s="451"/>
      <c r="AG16" s="451"/>
      <c r="AH16" s="451"/>
      <c r="AI16" s="451"/>
      <c r="AJ16" s="451"/>
      <c r="AK16" s="451"/>
      <c r="AL16" s="451"/>
      <c r="AM16" s="451"/>
      <c r="AN16" s="451"/>
      <c r="AO16" s="451"/>
      <c r="AP16" s="451"/>
      <c r="AQ16" s="451"/>
      <c r="AR16" s="451"/>
    </row>
    <row r="17" spans="1:45" ht="27" customHeight="1" x14ac:dyDescent="0.25">
      <c r="D17" s="451"/>
      <c r="E17" s="451"/>
      <c r="F17" s="451"/>
      <c r="G17" s="451"/>
      <c r="H17" s="451"/>
      <c r="I17" s="451"/>
      <c r="J17" s="451"/>
      <c r="K17" s="451"/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  <c r="W17" s="451"/>
      <c r="X17" s="451"/>
      <c r="Y17" s="451"/>
      <c r="Z17" s="451"/>
      <c r="AA17" s="451"/>
      <c r="AB17" s="451"/>
      <c r="AC17" s="451"/>
      <c r="AD17" s="451"/>
      <c r="AE17" s="451"/>
      <c r="AF17" s="451"/>
      <c r="AG17" s="451"/>
      <c r="AH17" s="451"/>
      <c r="AI17" s="451"/>
      <c r="AJ17" s="451"/>
      <c r="AK17" s="451"/>
      <c r="AL17" s="451"/>
      <c r="AM17" s="451"/>
      <c r="AN17" s="451"/>
      <c r="AO17" s="451"/>
      <c r="AP17" s="451"/>
      <c r="AQ17" s="451"/>
      <c r="AR17" s="451"/>
    </row>
    <row r="18" spans="1:45" ht="27" customHeight="1" x14ac:dyDescent="0.25">
      <c r="D18" s="451"/>
      <c r="E18" s="451"/>
      <c r="F18" s="451"/>
      <c r="G18" s="451"/>
      <c r="H18" s="451"/>
      <c r="I18" s="451"/>
      <c r="J18" s="451"/>
      <c r="K18" s="451"/>
      <c r="L18" s="451"/>
      <c r="M18" s="451"/>
      <c r="N18" s="451"/>
      <c r="O18" s="451"/>
      <c r="P18" s="451"/>
      <c r="Q18" s="451"/>
      <c r="R18" s="451"/>
      <c r="S18" s="451"/>
      <c r="T18" s="451"/>
      <c r="U18" s="451"/>
      <c r="V18" s="451"/>
      <c r="W18" s="451"/>
      <c r="X18" s="451"/>
      <c r="Y18" s="451"/>
      <c r="Z18" s="451"/>
      <c r="AA18" s="451"/>
      <c r="AB18" s="451"/>
      <c r="AC18" s="451"/>
      <c r="AD18" s="451"/>
      <c r="AE18" s="451"/>
      <c r="AF18" s="451"/>
      <c r="AG18" s="451"/>
      <c r="AH18" s="451"/>
      <c r="AI18" s="451"/>
      <c r="AJ18" s="451"/>
      <c r="AK18" s="451"/>
      <c r="AL18" s="451"/>
      <c r="AM18" s="451"/>
      <c r="AN18" s="451"/>
      <c r="AO18" s="451"/>
      <c r="AP18" s="451"/>
      <c r="AQ18" s="451"/>
      <c r="AR18" s="451"/>
    </row>
    <row r="19" spans="1:45" ht="27" customHeight="1" thickBot="1" x14ac:dyDescent="0.3">
      <c r="D19" s="451"/>
      <c r="E19" s="451"/>
      <c r="F19" s="451"/>
      <c r="G19" s="451"/>
      <c r="H19" s="451"/>
      <c r="I19" s="451"/>
      <c r="J19" s="451"/>
      <c r="K19" s="451"/>
      <c r="L19" s="451"/>
      <c r="M19" s="451"/>
      <c r="N19" s="451"/>
      <c r="O19" s="451"/>
      <c r="P19" s="451"/>
      <c r="Q19" s="451"/>
      <c r="R19" s="451"/>
      <c r="S19" s="451"/>
      <c r="T19" s="451"/>
      <c r="U19" s="451"/>
      <c r="V19" s="451"/>
      <c r="W19" s="451"/>
      <c r="X19" s="451"/>
      <c r="Y19" s="451"/>
      <c r="Z19" s="451"/>
      <c r="AA19" s="451"/>
      <c r="AB19" s="451"/>
      <c r="AC19" s="451"/>
      <c r="AD19" s="451"/>
      <c r="AE19" s="451"/>
      <c r="AF19" s="451"/>
      <c r="AG19" s="451"/>
      <c r="AH19" s="451"/>
      <c r="AI19" s="451"/>
      <c r="AJ19" s="451"/>
      <c r="AK19" s="451"/>
      <c r="AL19" s="451"/>
      <c r="AM19" s="451"/>
      <c r="AN19" s="451"/>
      <c r="AO19" s="451"/>
      <c r="AP19" s="451"/>
      <c r="AQ19" s="451"/>
      <c r="AR19" s="451"/>
    </row>
    <row r="20" spans="1:45" s="132" customFormat="1" ht="59.25" customHeight="1" thickBot="1" x14ac:dyDescent="0.3">
      <c r="A20" s="452" t="s">
        <v>0</v>
      </c>
      <c r="B20" s="274"/>
      <c r="C20" s="275"/>
      <c r="D20" s="466" t="s">
        <v>10</v>
      </c>
      <c r="E20" s="467"/>
      <c r="F20" s="467"/>
      <c r="G20" s="467"/>
      <c r="H20" s="467"/>
      <c r="I20" s="467"/>
      <c r="J20" s="467"/>
      <c r="K20" s="468"/>
      <c r="L20" s="469" t="s">
        <v>26</v>
      </c>
      <c r="M20" s="470"/>
      <c r="N20" s="452" t="s">
        <v>11</v>
      </c>
      <c r="O20" s="462"/>
      <c r="P20" s="452" t="s">
        <v>14</v>
      </c>
      <c r="Q20" s="462"/>
      <c r="R20" s="452" t="s">
        <v>17</v>
      </c>
      <c r="S20" s="453"/>
      <c r="T20" s="462"/>
      <c r="U20" s="455" t="s">
        <v>25</v>
      </c>
      <c r="V20" s="456"/>
      <c r="W20" s="456"/>
      <c r="X20" s="456"/>
      <c r="Y20" s="457"/>
      <c r="Z20" s="457"/>
      <c r="AA20" s="463"/>
      <c r="AB20" s="452" t="s">
        <v>27</v>
      </c>
      <c r="AC20" s="453"/>
      <c r="AD20" s="454"/>
      <c r="AE20" s="455" t="s">
        <v>31</v>
      </c>
      <c r="AF20" s="456"/>
      <c r="AG20" s="456"/>
      <c r="AH20" s="456"/>
      <c r="AI20" s="456"/>
      <c r="AJ20" s="456"/>
      <c r="AK20" s="456"/>
      <c r="AL20" s="456"/>
      <c r="AM20" s="456"/>
      <c r="AN20" s="456"/>
      <c r="AO20" s="456"/>
      <c r="AP20" s="457"/>
      <c r="AQ20" s="458" t="s">
        <v>236</v>
      </c>
      <c r="AR20" s="460" t="s">
        <v>46</v>
      </c>
    </row>
    <row r="21" spans="1:45" s="132" customFormat="1" ht="72.75" customHeight="1" thickBot="1" x14ac:dyDescent="0.3">
      <c r="A21" s="465"/>
      <c r="B21" s="276" t="s">
        <v>221</v>
      </c>
      <c r="C21" s="277" t="s">
        <v>8</v>
      </c>
      <c r="D21" s="278" t="s">
        <v>128</v>
      </c>
      <c r="E21" s="276" t="s">
        <v>7</v>
      </c>
      <c r="F21" s="276" t="s">
        <v>49</v>
      </c>
      <c r="G21" s="300" t="s">
        <v>2</v>
      </c>
      <c r="H21" s="276" t="s">
        <v>3</v>
      </c>
      <c r="I21" s="276" t="s">
        <v>594</v>
      </c>
      <c r="J21" s="279" t="s">
        <v>4</v>
      </c>
      <c r="K21" s="280" t="s">
        <v>47</v>
      </c>
      <c r="L21" s="281" t="s">
        <v>235</v>
      </c>
      <c r="M21" s="277" t="s">
        <v>5</v>
      </c>
      <c r="N21" s="278" t="s">
        <v>12</v>
      </c>
      <c r="O21" s="280" t="s">
        <v>13</v>
      </c>
      <c r="P21" s="317" t="s">
        <v>15</v>
      </c>
      <c r="Q21" s="280" t="s">
        <v>16</v>
      </c>
      <c r="R21" s="278" t="s">
        <v>20</v>
      </c>
      <c r="S21" s="282" t="s">
        <v>18</v>
      </c>
      <c r="T21" s="283" t="s">
        <v>19</v>
      </c>
      <c r="U21" s="303" t="s">
        <v>24</v>
      </c>
      <c r="V21" s="279" t="s">
        <v>21</v>
      </c>
      <c r="W21" s="279" t="s">
        <v>22</v>
      </c>
      <c r="X21" s="279" t="s">
        <v>23</v>
      </c>
      <c r="Y21" s="321" t="s">
        <v>636</v>
      </c>
      <c r="Z21" s="321" t="s">
        <v>637</v>
      </c>
      <c r="AA21" s="284" t="s">
        <v>44</v>
      </c>
      <c r="AB21" s="278" t="s">
        <v>28</v>
      </c>
      <c r="AC21" s="277" t="s">
        <v>29</v>
      </c>
      <c r="AD21" s="299" t="s">
        <v>30</v>
      </c>
      <c r="AE21" s="285" t="s">
        <v>32</v>
      </c>
      <c r="AF21" s="279" t="s">
        <v>33</v>
      </c>
      <c r="AG21" s="279" t="s">
        <v>34</v>
      </c>
      <c r="AH21" s="279" t="s">
        <v>35</v>
      </c>
      <c r="AI21" s="279" t="s">
        <v>36</v>
      </c>
      <c r="AJ21" s="279" t="s">
        <v>37</v>
      </c>
      <c r="AK21" s="279" t="s">
        <v>38</v>
      </c>
      <c r="AL21" s="279" t="s">
        <v>39</v>
      </c>
      <c r="AM21" s="279" t="s">
        <v>40</v>
      </c>
      <c r="AN21" s="279" t="s">
        <v>41</v>
      </c>
      <c r="AO21" s="279" t="s">
        <v>42</v>
      </c>
      <c r="AP21" s="321" t="s">
        <v>43</v>
      </c>
      <c r="AQ21" s="459"/>
      <c r="AR21" s="461"/>
    </row>
    <row r="22" spans="1:45" s="157" customFormat="1" ht="89.25" x14ac:dyDescent="0.25">
      <c r="A22" s="260">
        <v>1</v>
      </c>
      <c r="B22" s="261" t="s">
        <v>243</v>
      </c>
      <c r="C22" s="262" t="s">
        <v>546</v>
      </c>
      <c r="D22" s="263" t="s">
        <v>166</v>
      </c>
      <c r="E22" s="261" t="s">
        <v>173</v>
      </c>
      <c r="F22" s="261" t="s">
        <v>188</v>
      </c>
      <c r="G22" s="301" t="s">
        <v>593</v>
      </c>
      <c r="H22" s="261" t="s">
        <v>630</v>
      </c>
      <c r="I22" s="176" t="s">
        <v>596</v>
      </c>
      <c r="J22" s="264" t="s">
        <v>548</v>
      </c>
      <c r="K22" s="265" t="s">
        <v>578</v>
      </c>
      <c r="L22" s="266" t="s">
        <v>564</v>
      </c>
      <c r="M22" s="267" t="s">
        <v>191</v>
      </c>
      <c r="N22" s="263" t="s">
        <v>193</v>
      </c>
      <c r="O22" s="268" t="s">
        <v>563</v>
      </c>
      <c r="P22" s="266">
        <v>42000</v>
      </c>
      <c r="Q22" s="262">
        <v>223000</v>
      </c>
      <c r="R22" s="269" t="s">
        <v>211</v>
      </c>
      <c r="S22" s="270">
        <v>42736</v>
      </c>
      <c r="T22" s="271">
        <v>43100</v>
      </c>
      <c r="U22" s="319">
        <v>150000</v>
      </c>
      <c r="V22" s="319">
        <v>133369.64000000001</v>
      </c>
      <c r="W22" s="264">
        <v>0</v>
      </c>
      <c r="X22" s="264">
        <v>0</v>
      </c>
      <c r="Y22" s="341">
        <f>-16630.36+87278.74</f>
        <v>70648.38</v>
      </c>
      <c r="Z22" s="416">
        <f t="shared" ref="Z22:Z28" si="0">+U22+Y22</f>
        <v>220648.38</v>
      </c>
      <c r="AA22" s="272" t="s">
        <v>327</v>
      </c>
      <c r="AB22" s="269" t="s">
        <v>246</v>
      </c>
      <c r="AC22" s="262">
        <v>730811</v>
      </c>
      <c r="AD22" s="273" t="s">
        <v>526</v>
      </c>
      <c r="AE22" s="328">
        <v>40000</v>
      </c>
      <c r="AF22" s="329"/>
      <c r="AG22" s="329"/>
      <c r="AH22" s="329"/>
      <c r="AI22" s="329"/>
      <c r="AJ22" s="329"/>
      <c r="AK22" s="329">
        <v>15000</v>
      </c>
      <c r="AL22" s="329">
        <v>15000</v>
      </c>
      <c r="AM22" s="329">
        <v>60000</v>
      </c>
      <c r="AN22" s="329">
        <v>45000</v>
      </c>
      <c r="AO22" s="329">
        <f>35648.38+10000</f>
        <v>45648.38</v>
      </c>
      <c r="AP22" s="329"/>
      <c r="AQ22" s="323">
        <f>SUM(AE22:AP22)</f>
        <v>220648.38</v>
      </c>
      <c r="AR22" s="286" t="str">
        <f t="shared" ref="AR22:AR33" si="1">IF(AQ22=SUM(V22:X22),"OK","ERROR")</f>
        <v>ERROR</v>
      </c>
      <c r="AS22" s="409" t="e">
        <f>IF(AQ22=z,"OK","ERROR")</f>
        <v>#NAME?</v>
      </c>
    </row>
    <row r="23" spans="1:45" s="157" customFormat="1" ht="89.25" x14ac:dyDescent="0.25">
      <c r="A23" s="260">
        <v>2</v>
      </c>
      <c r="B23" s="156" t="s">
        <v>243</v>
      </c>
      <c r="C23" s="219" t="s">
        <v>546</v>
      </c>
      <c r="D23" s="210" t="s">
        <v>166</v>
      </c>
      <c r="E23" s="156" t="s">
        <v>173</v>
      </c>
      <c r="F23" s="156" t="s">
        <v>188</v>
      </c>
      <c r="G23" s="302" t="s">
        <v>540</v>
      </c>
      <c r="H23" s="156" t="s">
        <v>630</v>
      </c>
      <c r="I23" s="176" t="s">
        <v>596</v>
      </c>
      <c r="J23" s="158" t="s">
        <v>549</v>
      </c>
      <c r="K23" s="237" t="s">
        <v>574</v>
      </c>
      <c r="L23" s="206" t="s">
        <v>564</v>
      </c>
      <c r="M23" s="201" t="s">
        <v>191</v>
      </c>
      <c r="N23" s="210" t="s">
        <v>193</v>
      </c>
      <c r="O23" s="211" t="s">
        <v>563</v>
      </c>
      <c r="P23" s="206">
        <v>42000</v>
      </c>
      <c r="Q23" s="219">
        <v>223000</v>
      </c>
      <c r="R23" s="223" t="s">
        <v>211</v>
      </c>
      <c r="S23" s="141">
        <v>42736</v>
      </c>
      <c r="T23" s="224">
        <v>43100</v>
      </c>
      <c r="U23" s="304">
        <v>40000</v>
      </c>
      <c r="V23" s="304">
        <v>40000</v>
      </c>
      <c r="W23" s="158">
        <v>0</v>
      </c>
      <c r="X23" s="158">
        <v>0</v>
      </c>
      <c r="Y23" s="341">
        <v>0</v>
      </c>
      <c r="Z23" s="416">
        <f t="shared" si="0"/>
        <v>40000</v>
      </c>
      <c r="AA23" s="187" t="s">
        <v>327</v>
      </c>
      <c r="AB23" s="223" t="s">
        <v>246</v>
      </c>
      <c r="AC23" s="219">
        <v>730811</v>
      </c>
      <c r="AD23" s="273" t="s">
        <v>526</v>
      </c>
      <c r="AE23" s="330"/>
      <c r="AF23" s="331">
        <v>9500</v>
      </c>
      <c r="AG23" s="331"/>
      <c r="AH23" s="331"/>
      <c r="AI23" s="331"/>
      <c r="AJ23" s="331"/>
      <c r="AK23" s="331">
        <v>8500</v>
      </c>
      <c r="AL23" s="331">
        <v>12500</v>
      </c>
      <c r="AM23" s="331">
        <v>9500</v>
      </c>
      <c r="AN23" s="331"/>
      <c r="AO23" s="331"/>
      <c r="AP23" s="331"/>
      <c r="AQ23" s="324">
        <f t="shared" ref="AQ23:AQ33" si="2">SUM(AE23:AP23)</f>
        <v>40000</v>
      </c>
      <c r="AR23" s="286" t="str">
        <f t="shared" si="1"/>
        <v>OK</v>
      </c>
    </row>
    <row r="24" spans="1:45" s="157" customFormat="1" ht="89.25" x14ac:dyDescent="0.25">
      <c r="A24" s="260">
        <v>3</v>
      </c>
      <c r="B24" s="156" t="s">
        <v>243</v>
      </c>
      <c r="C24" s="219" t="s">
        <v>546</v>
      </c>
      <c r="D24" s="210" t="s">
        <v>166</v>
      </c>
      <c r="E24" s="156" t="s">
        <v>173</v>
      </c>
      <c r="F24" s="156" t="s">
        <v>188</v>
      </c>
      <c r="G24" s="302" t="s">
        <v>541</v>
      </c>
      <c r="H24" s="156" t="s">
        <v>630</v>
      </c>
      <c r="I24" s="175" t="s">
        <v>595</v>
      </c>
      <c r="J24" s="158" t="s">
        <v>550</v>
      </c>
      <c r="K24" s="237" t="s">
        <v>573</v>
      </c>
      <c r="L24" s="206" t="s">
        <v>564</v>
      </c>
      <c r="M24" s="201" t="s">
        <v>191</v>
      </c>
      <c r="N24" s="210" t="s">
        <v>193</v>
      </c>
      <c r="O24" s="211" t="s">
        <v>563</v>
      </c>
      <c r="P24" s="206">
        <v>42000</v>
      </c>
      <c r="Q24" s="219">
        <v>223000</v>
      </c>
      <c r="R24" s="223" t="s">
        <v>211</v>
      </c>
      <c r="S24" s="141">
        <v>42736</v>
      </c>
      <c r="T24" s="224">
        <v>43100</v>
      </c>
      <c r="U24" s="304">
        <v>10000</v>
      </c>
      <c r="V24" s="304">
        <v>26630.36</v>
      </c>
      <c r="W24" s="158">
        <v>0</v>
      </c>
      <c r="X24" s="158">
        <v>0</v>
      </c>
      <c r="Y24" s="341">
        <v>16630.36</v>
      </c>
      <c r="Z24" s="416">
        <f t="shared" si="0"/>
        <v>26630.36</v>
      </c>
      <c r="AA24" s="187" t="s">
        <v>327</v>
      </c>
      <c r="AB24" s="223" t="s">
        <v>246</v>
      </c>
      <c r="AC24" s="219">
        <v>730811</v>
      </c>
      <c r="AD24" s="273" t="s">
        <v>526</v>
      </c>
      <c r="AE24" s="330"/>
      <c r="AF24" s="331"/>
      <c r="AG24" s="331"/>
      <c r="AH24" s="331"/>
      <c r="AI24" s="331">
        <v>3000</v>
      </c>
      <c r="AJ24" s="331">
        <v>3500</v>
      </c>
      <c r="AK24" s="331">
        <v>3000</v>
      </c>
      <c r="AL24" s="331">
        <v>5000</v>
      </c>
      <c r="AM24" s="331">
        <v>6630.36</v>
      </c>
      <c r="AN24" s="331">
        <v>5500</v>
      </c>
      <c r="AO24" s="331"/>
      <c r="AP24" s="332"/>
      <c r="AQ24" s="324">
        <f t="shared" si="2"/>
        <v>26630.36</v>
      </c>
      <c r="AR24" s="286" t="str">
        <f t="shared" si="1"/>
        <v>OK</v>
      </c>
    </row>
    <row r="25" spans="1:45" s="157" customFormat="1" ht="89.25" x14ac:dyDescent="0.25">
      <c r="A25" s="260">
        <v>4</v>
      </c>
      <c r="B25" s="156" t="s">
        <v>243</v>
      </c>
      <c r="C25" s="219" t="s">
        <v>546</v>
      </c>
      <c r="D25" s="210" t="s">
        <v>164</v>
      </c>
      <c r="E25" s="156" t="s">
        <v>173</v>
      </c>
      <c r="F25" s="156" t="s">
        <v>188</v>
      </c>
      <c r="G25" s="302" t="s">
        <v>542</v>
      </c>
      <c r="H25" s="156" t="s">
        <v>630</v>
      </c>
      <c r="I25" s="176" t="s">
        <v>596</v>
      </c>
      <c r="J25" s="158" t="s">
        <v>557</v>
      </c>
      <c r="K25" s="237" t="s">
        <v>572</v>
      </c>
      <c r="L25" s="206" t="s">
        <v>564</v>
      </c>
      <c r="M25" s="201" t="s">
        <v>191</v>
      </c>
      <c r="N25" s="210" t="s">
        <v>193</v>
      </c>
      <c r="O25" s="211" t="s">
        <v>563</v>
      </c>
      <c r="P25" s="206">
        <v>42000</v>
      </c>
      <c r="Q25" s="219">
        <v>223000</v>
      </c>
      <c r="R25" s="223" t="s">
        <v>211</v>
      </c>
      <c r="S25" s="141">
        <v>42736</v>
      </c>
      <c r="T25" s="224">
        <v>43100</v>
      </c>
      <c r="U25" s="304">
        <v>130000</v>
      </c>
      <c r="V25" s="304">
        <v>200078.61</v>
      </c>
      <c r="W25" s="158"/>
      <c r="X25" s="158"/>
      <c r="Y25" s="341">
        <v>-5000</v>
      </c>
      <c r="Z25" s="416">
        <f t="shared" si="0"/>
        <v>125000</v>
      </c>
      <c r="AA25" s="187" t="s">
        <v>327</v>
      </c>
      <c r="AB25" s="223" t="s">
        <v>246</v>
      </c>
      <c r="AC25" s="292">
        <v>730499</v>
      </c>
      <c r="AD25" s="273" t="s">
        <v>529</v>
      </c>
      <c r="AE25" s="330">
        <v>10000</v>
      </c>
      <c r="AF25" s="331">
        <v>15000</v>
      </c>
      <c r="AG25" s="331"/>
      <c r="AH25" s="331">
        <v>20000</v>
      </c>
      <c r="AI25" s="331">
        <v>15000</v>
      </c>
      <c r="AJ25" s="331">
        <v>12000</v>
      </c>
      <c r="AK25" s="331">
        <v>18500</v>
      </c>
      <c r="AL25" s="331">
        <v>10000</v>
      </c>
      <c r="AM25" s="331">
        <v>14000</v>
      </c>
      <c r="AN25" s="331">
        <v>10500</v>
      </c>
      <c r="AO25" s="331"/>
      <c r="AP25" s="331"/>
      <c r="AQ25" s="324">
        <f t="shared" si="2"/>
        <v>125000</v>
      </c>
      <c r="AR25" s="286" t="str">
        <f t="shared" si="1"/>
        <v>ERROR</v>
      </c>
    </row>
    <row r="26" spans="1:45" s="157" customFormat="1" ht="93.75" x14ac:dyDescent="0.25">
      <c r="A26" s="260">
        <v>5</v>
      </c>
      <c r="B26" s="156" t="s">
        <v>243</v>
      </c>
      <c r="C26" s="219" t="s">
        <v>546</v>
      </c>
      <c r="D26" s="210" t="s">
        <v>164</v>
      </c>
      <c r="E26" s="156" t="s">
        <v>173</v>
      </c>
      <c r="F26" s="156" t="s">
        <v>188</v>
      </c>
      <c r="G26" s="302" t="s">
        <v>543</v>
      </c>
      <c r="H26" s="156" t="s">
        <v>630</v>
      </c>
      <c r="I26" s="177" t="s">
        <v>597</v>
      </c>
      <c r="J26" s="158" t="s">
        <v>558</v>
      </c>
      <c r="K26" s="237" t="s">
        <v>571</v>
      </c>
      <c r="L26" s="206" t="s">
        <v>564</v>
      </c>
      <c r="M26" s="201" t="s">
        <v>191</v>
      </c>
      <c r="N26" s="210" t="s">
        <v>193</v>
      </c>
      <c r="O26" s="211" t="s">
        <v>563</v>
      </c>
      <c r="P26" s="206">
        <v>42000</v>
      </c>
      <c r="Q26" s="219">
        <v>223000</v>
      </c>
      <c r="R26" s="223" t="s">
        <v>211</v>
      </c>
      <c r="S26" s="141">
        <v>42736</v>
      </c>
      <c r="T26" s="224">
        <v>43100</v>
      </c>
      <c r="U26" s="304">
        <v>100000</v>
      </c>
      <c r="V26" s="304">
        <v>24921.39</v>
      </c>
      <c r="W26" s="158"/>
      <c r="X26" s="158"/>
      <c r="Y26" s="341">
        <v>60824.12</v>
      </c>
      <c r="Z26" s="416">
        <f t="shared" si="0"/>
        <v>160824.12</v>
      </c>
      <c r="AA26" s="187" t="s">
        <v>327</v>
      </c>
      <c r="AB26" s="223" t="s">
        <v>246</v>
      </c>
      <c r="AC26" s="219">
        <v>730811</v>
      </c>
      <c r="AD26" s="273" t="s">
        <v>526</v>
      </c>
      <c r="AE26" s="330"/>
      <c r="AF26" s="331">
        <v>5600</v>
      </c>
      <c r="AG26" s="346"/>
      <c r="AH26" s="331">
        <v>45000</v>
      </c>
      <c r="AI26" s="331">
        <v>20000</v>
      </c>
      <c r="AJ26" s="331">
        <v>5000</v>
      </c>
      <c r="AK26" s="331">
        <v>75600</v>
      </c>
      <c r="AL26" s="331">
        <v>9624.1200000000008</v>
      </c>
      <c r="AM26" s="331"/>
      <c r="AN26" s="331"/>
      <c r="AO26" s="331"/>
      <c r="AP26" s="332"/>
      <c r="AQ26" s="324">
        <f t="shared" si="2"/>
        <v>160824.12</v>
      </c>
      <c r="AR26" s="286" t="str">
        <f t="shared" si="1"/>
        <v>ERROR</v>
      </c>
    </row>
    <row r="27" spans="1:45" s="157" customFormat="1" ht="89.25" x14ac:dyDescent="0.25">
      <c r="A27" s="142">
        <v>6</v>
      </c>
      <c r="B27" s="156" t="s">
        <v>243</v>
      </c>
      <c r="C27" s="219" t="s">
        <v>546</v>
      </c>
      <c r="D27" s="210" t="s">
        <v>166</v>
      </c>
      <c r="E27" s="156" t="s">
        <v>173</v>
      </c>
      <c r="F27" s="156" t="s">
        <v>188</v>
      </c>
      <c r="G27" s="302" t="s">
        <v>576</v>
      </c>
      <c r="H27" s="156" t="s">
        <v>630</v>
      </c>
      <c r="I27" s="175" t="s">
        <v>595</v>
      </c>
      <c r="J27" s="158" t="s">
        <v>559</v>
      </c>
      <c r="K27" s="237" t="s">
        <v>569</v>
      </c>
      <c r="L27" s="206" t="s">
        <v>565</v>
      </c>
      <c r="M27" s="201" t="s">
        <v>192</v>
      </c>
      <c r="N27" s="210" t="s">
        <v>193</v>
      </c>
      <c r="O27" s="211" t="s">
        <v>563</v>
      </c>
      <c r="P27" s="206">
        <v>42000</v>
      </c>
      <c r="Q27" s="219">
        <v>223000</v>
      </c>
      <c r="R27" s="223" t="s">
        <v>211</v>
      </c>
      <c r="S27" s="141">
        <v>42736</v>
      </c>
      <c r="T27" s="224">
        <v>43100</v>
      </c>
      <c r="U27" s="304">
        <v>100000</v>
      </c>
      <c r="V27" s="304">
        <v>100000</v>
      </c>
      <c r="W27" s="158"/>
      <c r="X27" s="158"/>
      <c r="Y27" s="341">
        <f>26790</f>
        <v>26790</v>
      </c>
      <c r="Z27" s="344">
        <f t="shared" si="0"/>
        <v>126790</v>
      </c>
      <c r="AA27" s="187" t="s">
        <v>327</v>
      </c>
      <c r="AB27" s="223" t="s">
        <v>246</v>
      </c>
      <c r="AC27" s="292">
        <v>730605</v>
      </c>
      <c r="AD27" s="273" t="s">
        <v>527</v>
      </c>
      <c r="AE27" s="330"/>
      <c r="AF27" s="331"/>
      <c r="AG27" s="331">
        <v>15000</v>
      </c>
      <c r="AH27" s="331">
        <v>30000</v>
      </c>
      <c r="AI27" s="331">
        <v>30000</v>
      </c>
      <c r="AJ27" s="331">
        <v>6790</v>
      </c>
      <c r="AK27" s="331">
        <v>15000</v>
      </c>
      <c r="AL27" s="331">
        <v>10000</v>
      </c>
      <c r="AM27" s="331">
        <v>10000</v>
      </c>
      <c r="AN27" s="331">
        <v>10000</v>
      </c>
      <c r="AO27" s="331"/>
      <c r="AP27" s="332"/>
      <c r="AQ27" s="324">
        <f t="shared" si="2"/>
        <v>126790</v>
      </c>
      <c r="AR27" s="286" t="str">
        <f t="shared" si="1"/>
        <v>ERROR</v>
      </c>
    </row>
    <row r="28" spans="1:45" s="157" customFormat="1" ht="89.25" x14ac:dyDescent="0.25">
      <c r="A28" s="142">
        <v>7</v>
      </c>
      <c r="B28" s="156" t="s">
        <v>243</v>
      </c>
      <c r="C28" s="219" t="s">
        <v>546</v>
      </c>
      <c r="D28" s="210" t="s">
        <v>166</v>
      </c>
      <c r="E28" s="156" t="s">
        <v>173</v>
      </c>
      <c r="F28" s="156" t="s">
        <v>188</v>
      </c>
      <c r="G28" s="302" t="s">
        <v>707</v>
      </c>
      <c r="H28" s="156" t="s">
        <v>630</v>
      </c>
      <c r="I28" s="176" t="s">
        <v>596</v>
      </c>
      <c r="J28" s="158" t="s">
        <v>560</v>
      </c>
      <c r="K28" s="237" t="s">
        <v>570</v>
      </c>
      <c r="L28" s="206" t="s">
        <v>564</v>
      </c>
      <c r="M28" s="201" t="s">
        <v>190</v>
      </c>
      <c r="N28" s="210" t="s">
        <v>193</v>
      </c>
      <c r="O28" s="211" t="s">
        <v>563</v>
      </c>
      <c r="P28" s="206">
        <v>42000</v>
      </c>
      <c r="Q28" s="219">
        <v>223000</v>
      </c>
      <c r="R28" s="223" t="s">
        <v>211</v>
      </c>
      <c r="S28" s="141">
        <v>42736</v>
      </c>
      <c r="T28" s="224">
        <v>43100</v>
      </c>
      <c r="U28" s="304">
        <v>300000</v>
      </c>
      <c r="V28" s="304">
        <v>300000</v>
      </c>
      <c r="W28" s="158"/>
      <c r="X28" s="158"/>
      <c r="Y28" s="341">
        <f>-87278.74-60824.12</f>
        <v>-148102.86000000002</v>
      </c>
      <c r="Z28" s="344">
        <f t="shared" si="0"/>
        <v>151897.13999999998</v>
      </c>
      <c r="AA28" s="187" t="s">
        <v>327</v>
      </c>
      <c r="AB28" s="223" t="s">
        <v>246</v>
      </c>
      <c r="AC28" s="219">
        <v>730811</v>
      </c>
      <c r="AD28" s="273" t="s">
        <v>526</v>
      </c>
      <c r="AE28" s="330"/>
      <c r="AF28" s="331"/>
      <c r="AG28" s="331"/>
      <c r="AH28" s="331"/>
      <c r="AI28" s="331"/>
      <c r="AJ28" s="331"/>
      <c r="AK28" s="331"/>
      <c r="AL28" s="331"/>
      <c r="AM28" s="331">
        <v>50000</v>
      </c>
      <c r="AN28" s="331">
        <v>50000</v>
      </c>
      <c r="AO28" s="331">
        <v>51897.14</v>
      </c>
      <c r="AP28" s="332"/>
      <c r="AQ28" s="324">
        <f t="shared" si="2"/>
        <v>151897.14000000001</v>
      </c>
      <c r="AR28" s="286" t="str">
        <f t="shared" si="1"/>
        <v>ERROR</v>
      </c>
      <c r="AS28" s="320"/>
    </row>
    <row r="29" spans="1:45" s="157" customFormat="1" ht="89.25" x14ac:dyDescent="0.25">
      <c r="A29" s="142">
        <v>9</v>
      </c>
      <c r="B29" s="156" t="s">
        <v>243</v>
      </c>
      <c r="C29" s="219" t="s">
        <v>546</v>
      </c>
      <c r="D29" s="210" t="s">
        <v>164</v>
      </c>
      <c r="E29" s="156" t="s">
        <v>173</v>
      </c>
      <c r="F29" s="156" t="s">
        <v>188</v>
      </c>
      <c r="G29" s="302" t="s">
        <v>544</v>
      </c>
      <c r="H29" s="156" t="s">
        <v>630</v>
      </c>
      <c r="I29" s="176" t="s">
        <v>596</v>
      </c>
      <c r="J29" s="158" t="s">
        <v>561</v>
      </c>
      <c r="K29" s="237" t="s">
        <v>567</v>
      </c>
      <c r="L29" s="206" t="s">
        <v>564</v>
      </c>
      <c r="M29" s="201" t="s">
        <v>191</v>
      </c>
      <c r="N29" s="210" t="s">
        <v>193</v>
      </c>
      <c r="O29" s="211" t="s">
        <v>563</v>
      </c>
      <c r="P29" s="206">
        <v>42000</v>
      </c>
      <c r="Q29" s="219">
        <v>223000</v>
      </c>
      <c r="R29" s="223" t="s">
        <v>211</v>
      </c>
      <c r="S29" s="141">
        <v>42736</v>
      </c>
      <c r="T29" s="224">
        <v>43100</v>
      </c>
      <c r="U29" s="304">
        <v>50000</v>
      </c>
      <c r="V29" s="304">
        <v>55000</v>
      </c>
      <c r="W29" s="158"/>
      <c r="X29" s="158"/>
      <c r="Y29" s="341">
        <v>5000</v>
      </c>
      <c r="Z29" s="344">
        <f t="shared" ref="Z29:Z33" si="3">+U29+Y29</f>
        <v>55000</v>
      </c>
      <c r="AA29" s="187" t="s">
        <v>327</v>
      </c>
      <c r="AB29" s="223" t="s">
        <v>246</v>
      </c>
      <c r="AC29" s="292">
        <v>730218</v>
      </c>
      <c r="AD29" s="273" t="s">
        <v>378</v>
      </c>
      <c r="AE29" s="330">
        <v>2500</v>
      </c>
      <c r="AF29" s="331">
        <v>5000</v>
      </c>
      <c r="AG29" s="331"/>
      <c r="AH29" s="331"/>
      <c r="AI29" s="331">
        <v>15000</v>
      </c>
      <c r="AJ29" s="331">
        <v>10000</v>
      </c>
      <c r="AK29" s="331">
        <v>8000</v>
      </c>
      <c r="AL29" s="331">
        <v>5000</v>
      </c>
      <c r="AM29" s="331">
        <v>3500</v>
      </c>
      <c r="AN29" s="331">
        <v>3500</v>
      </c>
      <c r="AO29" s="331">
        <v>2500</v>
      </c>
      <c r="AP29" s="332"/>
      <c r="AQ29" s="324">
        <f t="shared" si="2"/>
        <v>55000</v>
      </c>
      <c r="AR29" s="286" t="str">
        <f t="shared" si="1"/>
        <v>OK</v>
      </c>
    </row>
    <row r="30" spans="1:45" s="157" customFormat="1" ht="89.25" x14ac:dyDescent="0.25">
      <c r="A30" s="142">
        <v>10</v>
      </c>
      <c r="B30" s="156" t="s">
        <v>243</v>
      </c>
      <c r="C30" s="219" t="s">
        <v>546</v>
      </c>
      <c r="D30" s="210" t="s">
        <v>162</v>
      </c>
      <c r="E30" s="156" t="s">
        <v>173</v>
      </c>
      <c r="F30" s="156" t="s">
        <v>188</v>
      </c>
      <c r="G30" s="302" t="s">
        <v>545</v>
      </c>
      <c r="H30" s="156" t="s">
        <v>630</v>
      </c>
      <c r="I30" s="175" t="s">
        <v>595</v>
      </c>
      <c r="J30" s="158" t="s">
        <v>549</v>
      </c>
      <c r="K30" s="237" t="s">
        <v>575</v>
      </c>
      <c r="L30" s="206" t="s">
        <v>564</v>
      </c>
      <c r="M30" s="201" t="s">
        <v>191</v>
      </c>
      <c r="N30" s="210" t="s">
        <v>193</v>
      </c>
      <c r="O30" s="211" t="s">
        <v>563</v>
      </c>
      <c r="P30" s="206">
        <v>42000</v>
      </c>
      <c r="Q30" s="219">
        <v>223000</v>
      </c>
      <c r="R30" s="223" t="s">
        <v>211</v>
      </c>
      <c r="S30" s="141">
        <v>42736</v>
      </c>
      <c r="T30" s="224">
        <v>42551</v>
      </c>
      <c r="U30" s="304">
        <v>60000</v>
      </c>
      <c r="V30" s="304">
        <v>60000</v>
      </c>
      <c r="W30" s="158"/>
      <c r="X30" s="158"/>
      <c r="Y30" s="341">
        <v>42448.77</v>
      </c>
      <c r="Z30" s="344">
        <f t="shared" si="3"/>
        <v>102448.76999999999</v>
      </c>
      <c r="AA30" s="187" t="s">
        <v>327</v>
      </c>
      <c r="AB30" s="223" t="s">
        <v>247</v>
      </c>
      <c r="AC30" s="219">
        <v>730811</v>
      </c>
      <c r="AD30" s="273" t="s">
        <v>526</v>
      </c>
      <c r="AE30" s="330">
        <v>12500</v>
      </c>
      <c r="AF30" s="331">
        <v>8500</v>
      </c>
      <c r="AG30" s="331">
        <v>40000</v>
      </c>
      <c r="AH30" s="331">
        <v>40000</v>
      </c>
      <c r="AI30" s="331">
        <v>1448.77</v>
      </c>
      <c r="AJ30" s="331"/>
      <c r="AK30" s="331"/>
      <c r="AL30" s="331"/>
      <c r="AM30" s="331"/>
      <c r="AN30" s="331"/>
      <c r="AO30" s="331"/>
      <c r="AP30" s="332"/>
      <c r="AQ30" s="324">
        <f t="shared" si="2"/>
        <v>102448.77</v>
      </c>
      <c r="AR30" s="286" t="str">
        <f t="shared" si="1"/>
        <v>ERROR</v>
      </c>
    </row>
    <row r="31" spans="1:45" s="157" customFormat="1" ht="89.25" x14ac:dyDescent="0.25">
      <c r="A31" s="142">
        <v>11</v>
      </c>
      <c r="B31" s="156" t="s">
        <v>243</v>
      </c>
      <c r="C31" s="219" t="s">
        <v>546</v>
      </c>
      <c r="D31" s="210" t="s">
        <v>162</v>
      </c>
      <c r="E31" s="156" t="s">
        <v>173</v>
      </c>
      <c r="F31" s="156" t="s">
        <v>188</v>
      </c>
      <c r="G31" s="302" t="s">
        <v>631</v>
      </c>
      <c r="H31" s="156" t="s">
        <v>630</v>
      </c>
      <c r="I31" s="175" t="s">
        <v>595</v>
      </c>
      <c r="J31" s="158" t="s">
        <v>562</v>
      </c>
      <c r="K31" s="237" t="s">
        <v>568</v>
      </c>
      <c r="L31" s="206" t="s">
        <v>564</v>
      </c>
      <c r="M31" s="201" t="s">
        <v>191</v>
      </c>
      <c r="N31" s="210" t="s">
        <v>193</v>
      </c>
      <c r="O31" s="211" t="s">
        <v>563</v>
      </c>
      <c r="P31" s="206">
        <v>42000</v>
      </c>
      <c r="Q31" s="219">
        <v>223000</v>
      </c>
      <c r="R31" s="223" t="s">
        <v>211</v>
      </c>
      <c r="S31" s="141">
        <v>42736</v>
      </c>
      <c r="T31" s="224">
        <v>42551</v>
      </c>
      <c r="U31" s="304">
        <v>60000</v>
      </c>
      <c r="V31" s="304">
        <v>60000</v>
      </c>
      <c r="W31" s="158"/>
      <c r="X31" s="158"/>
      <c r="Y31" s="341">
        <v>52484.93</v>
      </c>
      <c r="Z31" s="344">
        <f t="shared" si="3"/>
        <v>112484.93</v>
      </c>
      <c r="AA31" s="187" t="s">
        <v>327</v>
      </c>
      <c r="AB31" s="223" t="s">
        <v>247</v>
      </c>
      <c r="AC31" s="292">
        <v>730601</v>
      </c>
      <c r="AD31" s="273" t="s">
        <v>528</v>
      </c>
      <c r="AE31" s="330">
        <v>35000</v>
      </c>
      <c r="AF31" s="331">
        <v>25000</v>
      </c>
      <c r="AG31" s="331">
        <v>52484.93</v>
      </c>
      <c r="AH31" s="331"/>
      <c r="AI31" s="331"/>
      <c r="AJ31" s="331"/>
      <c r="AK31" s="331"/>
      <c r="AL31" s="331"/>
      <c r="AM31" s="331"/>
      <c r="AN31" s="331"/>
      <c r="AO31" s="331"/>
      <c r="AP31" s="332"/>
      <c r="AQ31" s="324">
        <f t="shared" si="2"/>
        <v>112484.93</v>
      </c>
      <c r="AR31" s="286" t="str">
        <f t="shared" si="1"/>
        <v>ERROR</v>
      </c>
    </row>
    <row r="32" spans="1:45" s="157" customFormat="1" ht="72.75" customHeight="1" x14ac:dyDescent="0.25">
      <c r="A32" s="142">
        <v>12</v>
      </c>
      <c r="B32" s="156" t="s">
        <v>243</v>
      </c>
      <c r="C32" s="219" t="s">
        <v>546</v>
      </c>
      <c r="D32" s="210" t="s">
        <v>162</v>
      </c>
      <c r="E32" s="156" t="s">
        <v>173</v>
      </c>
      <c r="F32" s="156" t="s">
        <v>188</v>
      </c>
      <c r="G32" s="302" t="s">
        <v>635</v>
      </c>
      <c r="H32" s="156" t="s">
        <v>630</v>
      </c>
      <c r="I32" s="175" t="s">
        <v>595</v>
      </c>
      <c r="J32" s="158" t="s">
        <v>562</v>
      </c>
      <c r="K32" s="237" t="s">
        <v>568</v>
      </c>
      <c r="L32" s="206" t="s">
        <v>564</v>
      </c>
      <c r="M32" s="201" t="s">
        <v>191</v>
      </c>
      <c r="N32" s="210" t="s">
        <v>193</v>
      </c>
      <c r="O32" s="211" t="s">
        <v>563</v>
      </c>
      <c r="P32" s="206">
        <v>42000</v>
      </c>
      <c r="Q32" s="219">
        <v>223000</v>
      </c>
      <c r="R32" s="223" t="s">
        <v>211</v>
      </c>
      <c r="S32" s="141">
        <v>42736</v>
      </c>
      <c r="T32" s="224">
        <v>42551</v>
      </c>
      <c r="U32" s="304">
        <v>0</v>
      </c>
      <c r="V32" s="304">
        <v>0</v>
      </c>
      <c r="W32" s="158"/>
      <c r="X32" s="158"/>
      <c r="Y32" s="341">
        <f>4000+7400</f>
        <v>11400</v>
      </c>
      <c r="Z32" s="344">
        <f t="shared" si="3"/>
        <v>11400</v>
      </c>
      <c r="AA32" s="187" t="s">
        <v>327</v>
      </c>
      <c r="AB32" s="223" t="s">
        <v>247</v>
      </c>
      <c r="AC32" s="292">
        <v>730601</v>
      </c>
      <c r="AD32" s="273" t="s">
        <v>528</v>
      </c>
      <c r="AE32" s="330">
        <v>4143.8</v>
      </c>
      <c r="AF32" s="331">
        <v>4000</v>
      </c>
      <c r="AG32" s="331">
        <v>3256.2</v>
      </c>
      <c r="AH32" s="331"/>
      <c r="AI32" s="331"/>
      <c r="AJ32" s="331"/>
      <c r="AK32" s="331"/>
      <c r="AL32" s="331"/>
      <c r="AM32" s="331"/>
      <c r="AN32" s="331"/>
      <c r="AO32" s="331"/>
      <c r="AP32" s="332"/>
      <c r="AQ32" s="324">
        <f t="shared" si="2"/>
        <v>11400</v>
      </c>
      <c r="AR32" s="286" t="str">
        <f t="shared" si="1"/>
        <v>ERROR</v>
      </c>
    </row>
    <row r="33" spans="1:45" s="157" customFormat="1" ht="89.25" x14ac:dyDescent="0.25">
      <c r="A33" s="142">
        <v>13</v>
      </c>
      <c r="B33" s="156" t="s">
        <v>243</v>
      </c>
      <c r="C33" s="219" t="s">
        <v>546</v>
      </c>
      <c r="D33" s="210" t="s">
        <v>162</v>
      </c>
      <c r="E33" s="156" t="s">
        <v>173</v>
      </c>
      <c r="F33" s="156" t="s">
        <v>188</v>
      </c>
      <c r="G33" s="302" t="s">
        <v>632</v>
      </c>
      <c r="H33" s="156" t="s">
        <v>630</v>
      </c>
      <c r="I33" s="175" t="s">
        <v>595</v>
      </c>
      <c r="J33" s="158" t="s">
        <v>562</v>
      </c>
      <c r="K33" s="237" t="s">
        <v>568</v>
      </c>
      <c r="L33" s="206" t="s">
        <v>564</v>
      </c>
      <c r="M33" s="201" t="s">
        <v>191</v>
      </c>
      <c r="N33" s="210" t="s">
        <v>193</v>
      </c>
      <c r="O33" s="211" t="s">
        <v>563</v>
      </c>
      <c r="P33" s="206">
        <v>42000</v>
      </c>
      <c r="Q33" s="219">
        <v>223000</v>
      </c>
      <c r="R33" s="223" t="s">
        <v>211</v>
      </c>
      <c r="S33" s="141">
        <v>42736</v>
      </c>
      <c r="T33" s="224">
        <v>42551</v>
      </c>
      <c r="U33" s="304">
        <v>0</v>
      </c>
      <c r="V33" s="304">
        <v>0</v>
      </c>
      <c r="W33" s="158"/>
      <c r="X33" s="158"/>
      <c r="Y33" s="341">
        <f>124200+111780</f>
        <v>235980</v>
      </c>
      <c r="Z33" s="344">
        <f t="shared" si="3"/>
        <v>235980</v>
      </c>
      <c r="AA33" s="187" t="s">
        <v>327</v>
      </c>
      <c r="AB33" s="223" t="s">
        <v>247</v>
      </c>
      <c r="AC33" s="292">
        <v>730601</v>
      </c>
      <c r="AD33" s="273" t="s">
        <v>526</v>
      </c>
      <c r="AE33" s="330">
        <v>25000</v>
      </c>
      <c r="AF33" s="331">
        <v>50000</v>
      </c>
      <c r="AG33" s="331">
        <v>75000</v>
      </c>
      <c r="AH33" s="331">
        <v>85990</v>
      </c>
      <c r="AI33" s="331"/>
      <c r="AJ33" s="331"/>
      <c r="AK33" s="331"/>
      <c r="AL33" s="331"/>
      <c r="AM33" s="331"/>
      <c r="AN33" s="331"/>
      <c r="AO33" s="331"/>
      <c r="AP33" s="332"/>
      <c r="AQ33" s="324">
        <f t="shared" si="2"/>
        <v>235990</v>
      </c>
      <c r="AR33" s="286" t="str">
        <f t="shared" si="1"/>
        <v>ERROR</v>
      </c>
    </row>
    <row r="34" spans="1:45" s="179" customFormat="1" ht="26.25" x14ac:dyDescent="0.25">
      <c r="A34" s="181"/>
      <c r="B34" s="182"/>
      <c r="C34" s="220"/>
      <c r="D34" s="212"/>
      <c r="E34" s="182"/>
      <c r="F34" s="182"/>
      <c r="G34" s="183" t="s">
        <v>586</v>
      </c>
      <c r="H34" s="182"/>
      <c r="I34" s="182"/>
      <c r="J34" s="180"/>
      <c r="K34" s="238"/>
      <c r="L34" s="207"/>
      <c r="M34" s="202"/>
      <c r="N34" s="212"/>
      <c r="O34" s="213"/>
      <c r="P34" s="207"/>
      <c r="Q34" s="220"/>
      <c r="R34" s="225"/>
      <c r="S34" s="184"/>
      <c r="T34" s="226"/>
      <c r="U34" s="305">
        <f>SUBTOTAL(9,U22:U33)</f>
        <v>1000000</v>
      </c>
      <c r="V34" s="316">
        <f>SUBTOTAL(9,V22:V33)</f>
        <v>1000000</v>
      </c>
      <c r="W34" s="180">
        <f>SUM(W22:W31)</f>
        <v>0</v>
      </c>
      <c r="X34" s="180">
        <f>SUM(X22:X31)</f>
        <v>0</v>
      </c>
      <c r="Y34" s="293"/>
      <c r="Z34" s="437">
        <f>SUBTOTAL(9,Z22:Z33)</f>
        <v>1369103.7</v>
      </c>
      <c r="AA34" s="189">
        <f>SUM(AA22:AA31)</f>
        <v>0</v>
      </c>
      <c r="AB34" s="188">
        <f>SUM(AB22:AB31)</f>
        <v>0</v>
      </c>
      <c r="AC34" s="293"/>
      <c r="AD34" s="249">
        <f>SUM(AD22:AD31)</f>
        <v>0</v>
      </c>
      <c r="AE34" s="333">
        <f t="shared" ref="AE34:AP34" si="4">SUM(AE22:AE33)</f>
        <v>129143.8</v>
      </c>
      <c r="AF34" s="334">
        <f t="shared" si="4"/>
        <v>122600</v>
      </c>
      <c r="AG34" s="334">
        <f t="shared" si="4"/>
        <v>185741.13</v>
      </c>
      <c r="AH34" s="334">
        <f t="shared" si="4"/>
        <v>220990</v>
      </c>
      <c r="AI34" s="334">
        <f t="shared" si="4"/>
        <v>84448.77</v>
      </c>
      <c r="AJ34" s="334">
        <f t="shared" si="4"/>
        <v>37290</v>
      </c>
      <c r="AK34" s="334">
        <f t="shared" si="4"/>
        <v>143600</v>
      </c>
      <c r="AL34" s="334">
        <f t="shared" si="4"/>
        <v>67124.12</v>
      </c>
      <c r="AM34" s="334">
        <f t="shared" si="4"/>
        <v>153630.35999999999</v>
      </c>
      <c r="AN34" s="334">
        <f t="shared" si="4"/>
        <v>124500</v>
      </c>
      <c r="AO34" s="334">
        <f t="shared" si="4"/>
        <v>100045.51999999999</v>
      </c>
      <c r="AP34" s="335">
        <f t="shared" si="4"/>
        <v>0</v>
      </c>
      <c r="AQ34" s="322">
        <f>SUBTOTAL(9,AQ22:AQ33)</f>
        <v>1369113.7</v>
      </c>
      <c r="AR34" s="287"/>
    </row>
    <row r="35" spans="1:45" s="179" customFormat="1" ht="26.25" x14ac:dyDescent="0.25">
      <c r="A35" s="181"/>
      <c r="B35" s="182"/>
      <c r="C35" s="220"/>
      <c r="D35" s="212"/>
      <c r="E35" s="182"/>
      <c r="F35" s="182"/>
      <c r="G35" s="440" t="s">
        <v>587</v>
      </c>
      <c r="H35" s="182"/>
      <c r="I35" s="182"/>
      <c r="J35" s="180"/>
      <c r="K35" s="238"/>
      <c r="L35" s="207"/>
      <c r="M35" s="202"/>
      <c r="N35" s="212"/>
      <c r="O35" s="213"/>
      <c r="P35" s="207"/>
      <c r="Q35" s="220"/>
      <c r="R35" s="225"/>
      <c r="S35" s="184"/>
      <c r="T35" s="226"/>
      <c r="U35" s="305"/>
      <c r="V35" s="316"/>
      <c r="W35" s="180"/>
      <c r="X35" s="180"/>
      <c r="Y35" s="293"/>
      <c r="Z35" s="438">
        <f>+Z34+Z36</f>
        <v>3104852.5386666665</v>
      </c>
      <c r="AA35" s="189"/>
      <c r="AB35" s="188"/>
      <c r="AC35" s="293"/>
      <c r="AD35" s="249"/>
      <c r="AE35" s="436">
        <f>+AE34+AE36</f>
        <v>218833.32750000001</v>
      </c>
      <c r="AF35" s="436">
        <f t="shared" ref="AF35:AP35" si="5">+AF34+AF36</f>
        <v>250122.86962121213</v>
      </c>
      <c r="AG35" s="436">
        <f t="shared" si="5"/>
        <v>327229.02962121216</v>
      </c>
      <c r="AH35" s="436">
        <f t="shared" si="5"/>
        <v>314184.07962121209</v>
      </c>
      <c r="AI35" s="436">
        <f t="shared" si="5"/>
        <v>180273.28962121211</v>
      </c>
      <c r="AJ35" s="436">
        <f t="shared" si="5"/>
        <v>132684.07962121212</v>
      </c>
      <c r="AK35" s="436">
        <f t="shared" si="5"/>
        <v>321883.2796212121</v>
      </c>
      <c r="AL35" s="436">
        <f t="shared" si="5"/>
        <v>216564.5676212121</v>
      </c>
      <c r="AM35" s="436">
        <f t="shared" si="5"/>
        <v>298079.16045454546</v>
      </c>
      <c r="AN35" s="436">
        <f t="shared" si="5"/>
        <v>248919.48445454545</v>
      </c>
      <c r="AO35" s="436">
        <f t="shared" si="5"/>
        <v>211743.06045454543</v>
      </c>
      <c r="AP35" s="436">
        <f t="shared" si="5"/>
        <v>384346.31045454543</v>
      </c>
      <c r="AQ35" s="322"/>
      <c r="AR35" s="287"/>
    </row>
    <row r="36" spans="1:45" s="434" customFormat="1" ht="26.25" x14ac:dyDescent="0.25">
      <c r="A36" s="430"/>
      <c r="B36" s="182"/>
      <c r="C36" s="220"/>
      <c r="D36" s="212"/>
      <c r="E36" s="182"/>
      <c r="F36" s="182"/>
      <c r="G36" s="431" t="s">
        <v>706</v>
      </c>
      <c r="H36" s="182"/>
      <c r="I36" s="182"/>
      <c r="J36" s="180"/>
      <c r="K36" s="238"/>
      <c r="L36" s="207"/>
      <c r="M36" s="202"/>
      <c r="N36" s="212"/>
      <c r="O36" s="213"/>
      <c r="P36" s="207"/>
      <c r="Q36" s="220"/>
      <c r="R36" s="225"/>
      <c r="S36" s="184"/>
      <c r="T36" s="226"/>
      <c r="U36" s="305"/>
      <c r="V36" s="316"/>
      <c r="W36" s="180"/>
      <c r="X36" s="180"/>
      <c r="Y36" s="293"/>
      <c r="Z36" s="439">
        <f>+AE36+AF36+AG36+AH36+AI36+AJ36+AK36+AL36+AM36+AN36+AO36+AP36</f>
        <v>1735748.8386666668</v>
      </c>
      <c r="AA36" s="189"/>
      <c r="AB36" s="188"/>
      <c r="AC36" s="293"/>
      <c r="AD36" s="432"/>
      <c r="AE36" s="433">
        <f>SUBTOTAL(9,AE37:AE105)</f>
        <v>89689.527499999997</v>
      </c>
      <c r="AF36" s="433">
        <f t="shared" ref="AF36:AQ36" si="6">SUBTOTAL(9,AF37:AF105)</f>
        <v>127522.86962121211</v>
      </c>
      <c r="AG36" s="433">
        <f t="shared" si="6"/>
        <v>141487.89962121213</v>
      </c>
      <c r="AH36" s="433">
        <f t="shared" si="6"/>
        <v>93194.07962121212</v>
      </c>
      <c r="AI36" s="433">
        <f t="shared" si="6"/>
        <v>95824.519621212123</v>
      </c>
      <c r="AJ36" s="433">
        <f t="shared" si="6"/>
        <v>95394.07962121212</v>
      </c>
      <c r="AK36" s="433">
        <f t="shared" si="6"/>
        <v>178283.2796212121</v>
      </c>
      <c r="AL36" s="433">
        <f t="shared" si="6"/>
        <v>149440.44762121211</v>
      </c>
      <c r="AM36" s="433">
        <f t="shared" si="6"/>
        <v>144448.80045454548</v>
      </c>
      <c r="AN36" s="433">
        <f t="shared" si="6"/>
        <v>124419.48445454545</v>
      </c>
      <c r="AO36" s="433">
        <f t="shared" si="6"/>
        <v>111697.54045454545</v>
      </c>
      <c r="AP36" s="433">
        <f t="shared" si="6"/>
        <v>384346.31045454543</v>
      </c>
      <c r="AQ36" s="433">
        <f t="shared" si="6"/>
        <v>1735748.8386666665</v>
      </c>
      <c r="AR36" s="287"/>
    </row>
    <row r="37" spans="1:45" s="140" customFormat="1" ht="63.75" x14ac:dyDescent="0.25">
      <c r="A37" s="135">
        <v>14</v>
      </c>
      <c r="B37" s="137" t="s">
        <v>243</v>
      </c>
      <c r="C37" s="236" t="s">
        <v>385</v>
      </c>
      <c r="D37" s="239" t="s">
        <v>165</v>
      </c>
      <c r="E37" s="137" t="s">
        <v>172</v>
      </c>
      <c r="F37" s="137" t="s">
        <v>185</v>
      </c>
      <c r="G37" s="121" t="s">
        <v>600</v>
      </c>
      <c r="H37" s="156" t="s">
        <v>630</v>
      </c>
      <c r="I37" s="175" t="s">
        <v>598</v>
      </c>
      <c r="J37" s="175" t="s">
        <v>598</v>
      </c>
      <c r="K37" s="240">
        <v>1</v>
      </c>
      <c r="L37" s="185" t="s">
        <v>566</v>
      </c>
      <c r="M37" s="203" t="s">
        <v>191</v>
      </c>
      <c r="N37" s="195" t="s">
        <v>193</v>
      </c>
      <c r="O37" s="214" t="s">
        <v>563</v>
      </c>
      <c r="P37" s="208">
        <v>42000</v>
      </c>
      <c r="Q37" s="221">
        <v>223000</v>
      </c>
      <c r="R37" s="227" t="s">
        <v>211</v>
      </c>
      <c r="S37" s="138">
        <v>42736</v>
      </c>
      <c r="T37" s="228">
        <v>43100</v>
      </c>
      <c r="U37" s="308">
        <f>32930-200</f>
        <v>32730</v>
      </c>
      <c r="V37" s="309">
        <f>+U37</f>
        <v>32730</v>
      </c>
      <c r="W37" s="139"/>
      <c r="X37" s="139"/>
      <c r="Y37" s="342"/>
      <c r="Z37" s="342">
        <f>+U37+Y37</f>
        <v>32730</v>
      </c>
      <c r="AA37" s="190" t="s">
        <v>327</v>
      </c>
      <c r="AB37" s="246" t="s">
        <v>246</v>
      </c>
      <c r="AC37" s="294">
        <v>5301</v>
      </c>
      <c r="AD37" s="250" t="s">
        <v>530</v>
      </c>
      <c r="AE37" s="336">
        <f>32730/12</f>
        <v>2727.5</v>
      </c>
      <c r="AF37" s="337">
        <v>2727.5</v>
      </c>
      <c r="AG37" s="337">
        <v>2727.5</v>
      </c>
      <c r="AH37" s="337">
        <v>2727.5</v>
      </c>
      <c r="AI37" s="337">
        <v>2727.5</v>
      </c>
      <c r="AJ37" s="337">
        <v>2727.5</v>
      </c>
      <c r="AK37" s="337">
        <v>2727.5</v>
      </c>
      <c r="AL37" s="337">
        <v>2727.5</v>
      </c>
      <c r="AM37" s="337">
        <v>2727.5</v>
      </c>
      <c r="AN37" s="337">
        <v>2727.5</v>
      </c>
      <c r="AO37" s="337">
        <v>2727.5</v>
      </c>
      <c r="AP37" s="337">
        <v>2727.5</v>
      </c>
      <c r="AQ37" s="259">
        <f>SUM(AE37:AP37)</f>
        <v>32730</v>
      </c>
      <c r="AR37" s="288" t="str">
        <f t="shared" ref="AR37:AR45" si="7">IF(AQ37=SUM(V37:X37),"OK","ERROR")</f>
        <v>OK</v>
      </c>
    </row>
    <row r="38" spans="1:45" s="136" customFormat="1" ht="63.75" x14ac:dyDescent="0.25">
      <c r="A38" s="135">
        <v>15</v>
      </c>
      <c r="B38" s="133" t="s">
        <v>243</v>
      </c>
      <c r="C38" s="221" t="s">
        <v>385</v>
      </c>
      <c r="D38" s="195" t="s">
        <v>165</v>
      </c>
      <c r="E38" s="156" t="s">
        <v>172</v>
      </c>
      <c r="F38" s="156" t="s">
        <v>185</v>
      </c>
      <c r="G38" s="122" t="s">
        <v>601</v>
      </c>
      <c r="H38" s="156" t="s">
        <v>630</v>
      </c>
      <c r="I38" s="175" t="s">
        <v>598</v>
      </c>
      <c r="J38" s="175" t="s">
        <v>598</v>
      </c>
      <c r="K38" s="240">
        <v>1</v>
      </c>
      <c r="L38" s="185" t="s">
        <v>566</v>
      </c>
      <c r="M38" s="204" t="s">
        <v>191</v>
      </c>
      <c r="N38" s="195" t="s">
        <v>193</v>
      </c>
      <c r="O38" s="214" t="s">
        <v>563</v>
      </c>
      <c r="P38" s="208">
        <v>42000</v>
      </c>
      <c r="Q38" s="221">
        <v>223000</v>
      </c>
      <c r="R38" s="229" t="s">
        <v>211</v>
      </c>
      <c r="S38" s="141">
        <v>42736</v>
      </c>
      <c r="T38" s="224">
        <v>43100</v>
      </c>
      <c r="U38" s="310">
        <f>161795-670+997</f>
        <v>162122</v>
      </c>
      <c r="V38" s="311">
        <f>+U38</f>
        <v>162122</v>
      </c>
      <c r="W38" s="134"/>
      <c r="X38" s="134"/>
      <c r="Y38" s="343">
        <v>2829</v>
      </c>
      <c r="Z38" s="342">
        <f>+U38+Y38</f>
        <v>164951</v>
      </c>
      <c r="AA38" s="192" t="s">
        <v>327</v>
      </c>
      <c r="AB38" s="223" t="s">
        <v>246</v>
      </c>
      <c r="AC38" s="295">
        <v>5302</v>
      </c>
      <c r="AD38" s="251" t="s">
        <v>531</v>
      </c>
      <c r="AE38" s="338">
        <f>164951/12</f>
        <v>13745.916666666666</v>
      </c>
      <c r="AF38" s="339">
        <v>13745.92</v>
      </c>
      <c r="AG38" s="339">
        <v>13745.92</v>
      </c>
      <c r="AH38" s="339">
        <v>13745.92</v>
      </c>
      <c r="AI38" s="339">
        <v>13745.92</v>
      </c>
      <c r="AJ38" s="339">
        <v>13745.92</v>
      </c>
      <c r="AK38" s="339">
        <v>13745.92</v>
      </c>
      <c r="AL38" s="339">
        <v>13745.92</v>
      </c>
      <c r="AM38" s="339">
        <v>13745.92</v>
      </c>
      <c r="AN38" s="339">
        <v>13745.92</v>
      </c>
      <c r="AO38" s="339">
        <v>13745.92</v>
      </c>
      <c r="AP38" s="339">
        <f>13745.92-0.04</f>
        <v>13745.88</v>
      </c>
      <c r="AQ38" s="259">
        <f t="shared" ref="AQ38:AQ97" si="8">SUM(AE38:AP38)</f>
        <v>164950.99666666667</v>
      </c>
      <c r="AR38" s="288" t="str">
        <f t="shared" si="7"/>
        <v>ERROR</v>
      </c>
      <c r="AS38" s="325"/>
    </row>
    <row r="39" spans="1:45" s="136" customFormat="1" ht="63.75" hidden="1" x14ac:dyDescent="0.25">
      <c r="A39" s="135">
        <v>13</v>
      </c>
      <c r="B39" s="133" t="s">
        <v>243</v>
      </c>
      <c r="C39" s="221" t="s">
        <v>385</v>
      </c>
      <c r="D39" s="195" t="s">
        <v>165</v>
      </c>
      <c r="E39" s="156" t="s">
        <v>172</v>
      </c>
      <c r="F39" s="156" t="s">
        <v>185</v>
      </c>
      <c r="G39" s="122" t="s">
        <v>602</v>
      </c>
      <c r="H39" s="156" t="s">
        <v>630</v>
      </c>
      <c r="I39" s="175" t="s">
        <v>598</v>
      </c>
      <c r="J39" s="175" t="s">
        <v>598</v>
      </c>
      <c r="K39" s="240">
        <v>1</v>
      </c>
      <c r="L39" s="185" t="s">
        <v>566</v>
      </c>
      <c r="M39" s="204" t="s">
        <v>191</v>
      </c>
      <c r="N39" s="195" t="s">
        <v>193</v>
      </c>
      <c r="O39" s="214" t="s">
        <v>563</v>
      </c>
      <c r="P39" s="208">
        <v>42000</v>
      </c>
      <c r="Q39" s="221">
        <v>223000</v>
      </c>
      <c r="R39" s="229" t="s">
        <v>211</v>
      </c>
      <c r="S39" s="143"/>
      <c r="T39" s="230"/>
      <c r="U39" s="191"/>
      <c r="V39" s="134"/>
      <c r="W39" s="134"/>
      <c r="X39" s="134"/>
      <c r="Y39" s="343"/>
      <c r="Z39" s="343"/>
      <c r="AA39" s="192" t="s">
        <v>327</v>
      </c>
      <c r="AB39" s="223" t="s">
        <v>246</v>
      </c>
      <c r="AC39" s="219"/>
      <c r="AD39" s="252"/>
      <c r="AE39" s="191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256"/>
      <c r="AQ39" s="259">
        <f t="shared" si="8"/>
        <v>0</v>
      </c>
      <c r="AR39" s="288" t="str">
        <f t="shared" si="7"/>
        <v>OK</v>
      </c>
    </row>
    <row r="40" spans="1:45" s="136" customFormat="1" ht="63.75" hidden="1" x14ac:dyDescent="0.25">
      <c r="A40" s="135">
        <v>14</v>
      </c>
      <c r="B40" s="133" t="s">
        <v>243</v>
      </c>
      <c r="C40" s="221" t="s">
        <v>385</v>
      </c>
      <c r="D40" s="195" t="s">
        <v>272</v>
      </c>
      <c r="E40" s="156" t="s">
        <v>172</v>
      </c>
      <c r="F40" s="156" t="s">
        <v>185</v>
      </c>
      <c r="G40" s="122" t="s">
        <v>603</v>
      </c>
      <c r="H40" s="156" t="s">
        <v>630</v>
      </c>
      <c r="I40" s="175" t="s">
        <v>598</v>
      </c>
      <c r="J40" s="175" t="s">
        <v>598</v>
      </c>
      <c r="K40" s="240">
        <v>1</v>
      </c>
      <c r="L40" s="185" t="s">
        <v>566</v>
      </c>
      <c r="M40" s="204" t="s">
        <v>191</v>
      </c>
      <c r="N40" s="195" t="s">
        <v>193</v>
      </c>
      <c r="O40" s="214" t="s">
        <v>563</v>
      </c>
      <c r="P40" s="208">
        <v>42000</v>
      </c>
      <c r="Q40" s="221">
        <v>223000</v>
      </c>
      <c r="R40" s="229" t="s">
        <v>211</v>
      </c>
      <c r="S40" s="143"/>
      <c r="T40" s="230"/>
      <c r="U40" s="191"/>
      <c r="V40" s="134"/>
      <c r="W40" s="134"/>
      <c r="X40" s="134"/>
      <c r="Y40" s="343"/>
      <c r="Z40" s="343"/>
      <c r="AA40" s="192" t="s">
        <v>327</v>
      </c>
      <c r="AB40" s="223" t="s">
        <v>246</v>
      </c>
      <c r="AC40" s="219"/>
      <c r="AD40" s="252"/>
      <c r="AE40" s="191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256"/>
      <c r="AQ40" s="259">
        <f t="shared" si="8"/>
        <v>0</v>
      </c>
      <c r="AR40" s="288" t="str">
        <f t="shared" si="7"/>
        <v>OK</v>
      </c>
    </row>
    <row r="41" spans="1:45" s="136" customFormat="1" ht="63.75" hidden="1" x14ac:dyDescent="0.25">
      <c r="A41" s="135">
        <v>15</v>
      </c>
      <c r="B41" s="133" t="s">
        <v>243</v>
      </c>
      <c r="C41" s="221" t="s">
        <v>385</v>
      </c>
      <c r="D41" s="195" t="s">
        <v>273</v>
      </c>
      <c r="E41" s="156" t="s">
        <v>172</v>
      </c>
      <c r="F41" s="156" t="s">
        <v>185</v>
      </c>
      <c r="G41" s="122" t="s">
        <v>604</v>
      </c>
      <c r="H41" s="156" t="s">
        <v>630</v>
      </c>
      <c r="I41" s="175" t="s">
        <v>598</v>
      </c>
      <c r="J41" s="175" t="s">
        <v>598</v>
      </c>
      <c r="K41" s="240">
        <v>1</v>
      </c>
      <c r="L41" s="185" t="s">
        <v>566</v>
      </c>
      <c r="M41" s="204" t="s">
        <v>191</v>
      </c>
      <c r="N41" s="195" t="s">
        <v>193</v>
      </c>
      <c r="O41" s="214" t="s">
        <v>563</v>
      </c>
      <c r="P41" s="208">
        <v>42000</v>
      </c>
      <c r="Q41" s="221">
        <v>223000</v>
      </c>
      <c r="R41" s="229" t="s">
        <v>211</v>
      </c>
      <c r="S41" s="143"/>
      <c r="T41" s="230"/>
      <c r="U41" s="191"/>
      <c r="V41" s="134"/>
      <c r="W41" s="134"/>
      <c r="X41" s="134"/>
      <c r="Y41" s="343"/>
      <c r="Z41" s="343"/>
      <c r="AA41" s="192" t="s">
        <v>327</v>
      </c>
      <c r="AB41" s="223" t="s">
        <v>246</v>
      </c>
      <c r="AC41" s="219"/>
      <c r="AD41" s="252"/>
      <c r="AE41" s="191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256"/>
      <c r="AQ41" s="259">
        <f t="shared" si="8"/>
        <v>0</v>
      </c>
      <c r="AR41" s="288" t="str">
        <f t="shared" si="7"/>
        <v>OK</v>
      </c>
    </row>
    <row r="42" spans="1:45" s="136" customFormat="1" ht="63.75" hidden="1" x14ac:dyDescent="0.25">
      <c r="A42" s="135">
        <v>16</v>
      </c>
      <c r="B42" s="133" t="s">
        <v>243</v>
      </c>
      <c r="C42" s="221" t="s">
        <v>385</v>
      </c>
      <c r="D42" s="195" t="s">
        <v>274</v>
      </c>
      <c r="E42" s="156" t="s">
        <v>172</v>
      </c>
      <c r="F42" s="156" t="s">
        <v>185</v>
      </c>
      <c r="G42" s="122" t="s">
        <v>605</v>
      </c>
      <c r="H42" s="156" t="s">
        <v>630</v>
      </c>
      <c r="I42" s="175" t="s">
        <v>598</v>
      </c>
      <c r="J42" s="175" t="s">
        <v>598</v>
      </c>
      <c r="K42" s="240">
        <v>1</v>
      </c>
      <c r="L42" s="185" t="s">
        <v>566</v>
      </c>
      <c r="M42" s="204" t="s">
        <v>191</v>
      </c>
      <c r="N42" s="195" t="s">
        <v>193</v>
      </c>
      <c r="O42" s="214" t="s">
        <v>563</v>
      </c>
      <c r="P42" s="208">
        <v>42000</v>
      </c>
      <c r="Q42" s="221">
        <v>223000</v>
      </c>
      <c r="R42" s="229" t="s">
        <v>211</v>
      </c>
      <c r="S42" s="143"/>
      <c r="T42" s="230"/>
      <c r="U42" s="191"/>
      <c r="V42" s="134"/>
      <c r="W42" s="134"/>
      <c r="X42" s="134"/>
      <c r="Y42" s="343"/>
      <c r="Z42" s="343"/>
      <c r="AA42" s="192" t="s">
        <v>327</v>
      </c>
      <c r="AB42" s="223" t="s">
        <v>246</v>
      </c>
      <c r="AC42" s="219"/>
      <c r="AD42" s="252"/>
      <c r="AE42" s="191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256"/>
      <c r="AQ42" s="259">
        <f t="shared" si="8"/>
        <v>0</v>
      </c>
      <c r="AR42" s="288" t="str">
        <f t="shared" si="7"/>
        <v>OK</v>
      </c>
    </row>
    <row r="43" spans="1:45" s="136" customFormat="1" ht="63.75" hidden="1" x14ac:dyDescent="0.25">
      <c r="A43" s="135">
        <v>17</v>
      </c>
      <c r="B43" s="133" t="s">
        <v>243</v>
      </c>
      <c r="C43" s="221" t="s">
        <v>385</v>
      </c>
      <c r="D43" s="195" t="s">
        <v>275</v>
      </c>
      <c r="E43" s="156" t="s">
        <v>172</v>
      </c>
      <c r="F43" s="156" t="s">
        <v>185</v>
      </c>
      <c r="G43" s="122" t="s">
        <v>606</v>
      </c>
      <c r="H43" s="156" t="s">
        <v>630</v>
      </c>
      <c r="I43" s="175" t="s">
        <v>598</v>
      </c>
      <c r="J43" s="175" t="s">
        <v>598</v>
      </c>
      <c r="K43" s="240">
        <v>1</v>
      </c>
      <c r="L43" s="185" t="s">
        <v>566</v>
      </c>
      <c r="M43" s="204" t="s">
        <v>191</v>
      </c>
      <c r="N43" s="195" t="s">
        <v>193</v>
      </c>
      <c r="O43" s="214" t="s">
        <v>563</v>
      </c>
      <c r="P43" s="208">
        <v>42000</v>
      </c>
      <c r="Q43" s="221">
        <v>223000</v>
      </c>
      <c r="R43" s="229" t="s">
        <v>211</v>
      </c>
      <c r="S43" s="143"/>
      <c r="T43" s="230"/>
      <c r="U43" s="191"/>
      <c r="V43" s="134"/>
      <c r="W43" s="134"/>
      <c r="X43" s="134"/>
      <c r="Y43" s="343"/>
      <c r="Z43" s="343"/>
      <c r="AA43" s="192" t="s">
        <v>327</v>
      </c>
      <c r="AB43" s="223" t="s">
        <v>246</v>
      </c>
      <c r="AC43" s="219"/>
      <c r="AD43" s="252"/>
      <c r="AE43" s="191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256"/>
      <c r="AQ43" s="259">
        <f t="shared" si="8"/>
        <v>0</v>
      </c>
      <c r="AR43" s="288" t="str">
        <f t="shared" si="7"/>
        <v>OK</v>
      </c>
    </row>
    <row r="44" spans="1:45" s="136" customFormat="1" ht="63.75" x14ac:dyDescent="0.25">
      <c r="A44" s="135">
        <v>16</v>
      </c>
      <c r="B44" s="133" t="s">
        <v>243</v>
      </c>
      <c r="C44" s="221" t="s">
        <v>385</v>
      </c>
      <c r="D44" s="195" t="s">
        <v>276</v>
      </c>
      <c r="E44" s="156" t="s">
        <v>172</v>
      </c>
      <c r="F44" s="156" t="s">
        <v>185</v>
      </c>
      <c r="G44" s="122" t="s">
        <v>254</v>
      </c>
      <c r="H44" s="156" t="s">
        <v>630</v>
      </c>
      <c r="I44" s="175" t="s">
        <v>598</v>
      </c>
      <c r="J44" s="175" t="s">
        <v>598</v>
      </c>
      <c r="K44" s="240">
        <v>1</v>
      </c>
      <c r="L44" s="185" t="s">
        <v>566</v>
      </c>
      <c r="M44" s="204" t="s">
        <v>191</v>
      </c>
      <c r="N44" s="195" t="s">
        <v>193</v>
      </c>
      <c r="O44" s="214" t="s">
        <v>563</v>
      </c>
      <c r="P44" s="208">
        <v>42000</v>
      </c>
      <c r="Q44" s="221">
        <v>223000</v>
      </c>
      <c r="R44" s="229" t="s">
        <v>211</v>
      </c>
      <c r="S44" s="141">
        <v>42736</v>
      </c>
      <c r="T44" s="224">
        <v>43100</v>
      </c>
      <c r="U44" s="310">
        <v>6500</v>
      </c>
      <c r="V44" s="311">
        <v>6500</v>
      </c>
      <c r="W44" s="134"/>
      <c r="X44" s="134"/>
      <c r="Y44" s="343">
        <v>-500</v>
      </c>
      <c r="Z44" s="342">
        <f>+U44+Y44</f>
        <v>6000</v>
      </c>
      <c r="AA44" s="192" t="s">
        <v>327</v>
      </c>
      <c r="AB44" s="223" t="s">
        <v>246</v>
      </c>
      <c r="AC44" s="295">
        <v>5303</v>
      </c>
      <c r="AD44" s="429" t="s">
        <v>532</v>
      </c>
      <c r="AE44" s="339">
        <f>6000/12</f>
        <v>500</v>
      </c>
      <c r="AF44" s="339">
        <f t="shared" ref="AF44:AP44" si="9">6000/12</f>
        <v>500</v>
      </c>
      <c r="AG44" s="339">
        <f t="shared" si="9"/>
        <v>500</v>
      </c>
      <c r="AH44" s="339">
        <f t="shared" si="9"/>
        <v>500</v>
      </c>
      <c r="AI44" s="339">
        <f t="shared" si="9"/>
        <v>500</v>
      </c>
      <c r="AJ44" s="339">
        <f t="shared" si="9"/>
        <v>500</v>
      </c>
      <c r="AK44" s="339">
        <f t="shared" si="9"/>
        <v>500</v>
      </c>
      <c r="AL44" s="339">
        <f t="shared" si="9"/>
        <v>500</v>
      </c>
      <c r="AM44" s="339">
        <f t="shared" si="9"/>
        <v>500</v>
      </c>
      <c r="AN44" s="339">
        <f t="shared" si="9"/>
        <v>500</v>
      </c>
      <c r="AO44" s="339">
        <f t="shared" si="9"/>
        <v>500</v>
      </c>
      <c r="AP44" s="339">
        <f t="shared" si="9"/>
        <v>500</v>
      </c>
      <c r="AQ44" s="259">
        <f t="shared" si="8"/>
        <v>6000</v>
      </c>
      <c r="AR44" s="288" t="str">
        <f t="shared" si="7"/>
        <v>ERROR</v>
      </c>
    </row>
    <row r="45" spans="1:45" s="136" customFormat="1" ht="63.75" x14ac:dyDescent="0.25">
      <c r="A45" s="135">
        <v>17</v>
      </c>
      <c r="B45" s="133" t="s">
        <v>243</v>
      </c>
      <c r="C45" s="221" t="s">
        <v>385</v>
      </c>
      <c r="D45" s="195" t="s">
        <v>277</v>
      </c>
      <c r="E45" s="156" t="s">
        <v>172</v>
      </c>
      <c r="F45" s="156" t="s">
        <v>185</v>
      </c>
      <c r="G45" s="122" t="s">
        <v>607</v>
      </c>
      <c r="H45" s="156" t="s">
        <v>630</v>
      </c>
      <c r="I45" s="175" t="s">
        <v>598</v>
      </c>
      <c r="J45" s="175" t="s">
        <v>598</v>
      </c>
      <c r="K45" s="240">
        <v>1</v>
      </c>
      <c r="L45" s="185" t="s">
        <v>566</v>
      </c>
      <c r="M45" s="204" t="s">
        <v>191</v>
      </c>
      <c r="N45" s="195" t="s">
        <v>193</v>
      </c>
      <c r="O45" s="214" t="s">
        <v>563</v>
      </c>
      <c r="P45" s="208">
        <v>42000</v>
      </c>
      <c r="Q45" s="221">
        <v>223000</v>
      </c>
      <c r="R45" s="229" t="s">
        <v>211</v>
      </c>
      <c r="S45" s="141">
        <v>42767</v>
      </c>
      <c r="T45" s="224">
        <v>43100</v>
      </c>
      <c r="U45" s="310">
        <v>16000</v>
      </c>
      <c r="V45" s="311">
        <f>+U45</f>
        <v>16000</v>
      </c>
      <c r="W45" s="134"/>
      <c r="X45" s="134"/>
      <c r="Y45" s="343">
        <v>11000</v>
      </c>
      <c r="Z45" s="342">
        <f t="shared" ref="Z45" si="10">+U45+Y45</f>
        <v>27000</v>
      </c>
      <c r="AA45" s="192" t="s">
        <v>327</v>
      </c>
      <c r="AB45" s="223" t="s">
        <v>246</v>
      </c>
      <c r="AC45" s="295">
        <v>5304</v>
      </c>
      <c r="AD45" s="429" t="s">
        <v>533</v>
      </c>
      <c r="AE45" s="339">
        <v>0</v>
      </c>
      <c r="AF45" s="339">
        <f>27000/11</f>
        <v>2454.5454545454545</v>
      </c>
      <c r="AG45" s="339">
        <f t="shared" ref="AG45:AP45" si="11">27000/11</f>
        <v>2454.5454545454545</v>
      </c>
      <c r="AH45" s="339">
        <f t="shared" si="11"/>
        <v>2454.5454545454545</v>
      </c>
      <c r="AI45" s="339">
        <f t="shared" si="11"/>
        <v>2454.5454545454545</v>
      </c>
      <c r="AJ45" s="339">
        <f t="shared" si="11"/>
        <v>2454.5454545454545</v>
      </c>
      <c r="AK45" s="339">
        <f t="shared" si="11"/>
        <v>2454.5454545454545</v>
      </c>
      <c r="AL45" s="339">
        <f t="shared" si="11"/>
        <v>2454.5454545454545</v>
      </c>
      <c r="AM45" s="339">
        <f t="shared" si="11"/>
        <v>2454.5454545454545</v>
      </c>
      <c r="AN45" s="339">
        <f t="shared" si="11"/>
        <v>2454.5454545454545</v>
      </c>
      <c r="AO45" s="339">
        <f t="shared" si="11"/>
        <v>2454.5454545454545</v>
      </c>
      <c r="AP45" s="339">
        <f t="shared" si="11"/>
        <v>2454.5454545454545</v>
      </c>
      <c r="AQ45" s="259">
        <f t="shared" si="8"/>
        <v>27000.000000000004</v>
      </c>
      <c r="AR45" s="288" t="str">
        <f t="shared" si="7"/>
        <v>ERROR</v>
      </c>
      <c r="AS45" s="325"/>
    </row>
    <row r="46" spans="1:45" s="136" customFormat="1" ht="63.75" hidden="1" x14ac:dyDescent="0.25">
      <c r="A46" s="135">
        <v>20</v>
      </c>
      <c r="B46" s="133" t="s">
        <v>243</v>
      </c>
      <c r="C46" s="221" t="s">
        <v>385</v>
      </c>
      <c r="D46" s="195" t="s">
        <v>278</v>
      </c>
      <c r="E46" s="156" t="s">
        <v>172</v>
      </c>
      <c r="F46" s="156" t="s">
        <v>185</v>
      </c>
      <c r="G46" s="122" t="s">
        <v>608</v>
      </c>
      <c r="H46" s="156" t="s">
        <v>630</v>
      </c>
      <c r="I46" s="175" t="s">
        <v>598</v>
      </c>
      <c r="J46" s="175" t="s">
        <v>598</v>
      </c>
      <c r="K46" s="240">
        <v>1</v>
      </c>
      <c r="L46" s="185" t="s">
        <v>566</v>
      </c>
      <c r="M46" s="204" t="s">
        <v>191</v>
      </c>
      <c r="N46" s="195" t="s">
        <v>193</v>
      </c>
      <c r="O46" s="214" t="s">
        <v>563</v>
      </c>
      <c r="P46" s="208">
        <v>42000</v>
      </c>
      <c r="Q46" s="221">
        <v>223000</v>
      </c>
      <c r="R46" s="229" t="s">
        <v>211</v>
      </c>
      <c r="S46" s="143"/>
      <c r="T46" s="230"/>
      <c r="U46" s="191"/>
      <c r="V46" s="134"/>
      <c r="W46" s="134"/>
      <c r="X46" s="134"/>
      <c r="Y46" s="343"/>
      <c r="Z46" s="343"/>
      <c r="AA46" s="192" t="s">
        <v>327</v>
      </c>
      <c r="AB46" s="223" t="s">
        <v>246</v>
      </c>
      <c r="AC46" s="219"/>
      <c r="AD46" s="252"/>
      <c r="AE46" s="191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256"/>
      <c r="AQ46" s="259">
        <f t="shared" si="8"/>
        <v>0</v>
      </c>
      <c r="AR46" s="288"/>
    </row>
    <row r="47" spans="1:45" s="136" customFormat="1" ht="63.75" hidden="1" x14ac:dyDescent="0.25">
      <c r="A47" s="135">
        <v>21</v>
      </c>
      <c r="B47" s="133" t="s">
        <v>243</v>
      </c>
      <c r="C47" s="221" t="s">
        <v>385</v>
      </c>
      <c r="D47" s="195" t="s">
        <v>279</v>
      </c>
      <c r="E47" s="156" t="s">
        <v>172</v>
      </c>
      <c r="F47" s="156" t="s">
        <v>185</v>
      </c>
      <c r="G47" s="122" t="s">
        <v>609</v>
      </c>
      <c r="H47" s="156" t="s">
        <v>630</v>
      </c>
      <c r="I47" s="175" t="s">
        <v>598</v>
      </c>
      <c r="J47" s="175" t="s">
        <v>598</v>
      </c>
      <c r="K47" s="240">
        <v>1</v>
      </c>
      <c r="L47" s="185" t="s">
        <v>566</v>
      </c>
      <c r="M47" s="204" t="s">
        <v>191</v>
      </c>
      <c r="N47" s="195" t="s">
        <v>193</v>
      </c>
      <c r="O47" s="214" t="s">
        <v>563</v>
      </c>
      <c r="P47" s="208">
        <v>42000</v>
      </c>
      <c r="Q47" s="221">
        <v>223000</v>
      </c>
      <c r="R47" s="229" t="s">
        <v>211</v>
      </c>
      <c r="S47" s="143"/>
      <c r="T47" s="230"/>
      <c r="U47" s="191"/>
      <c r="V47" s="134"/>
      <c r="W47" s="134"/>
      <c r="X47" s="134"/>
      <c r="Y47" s="343"/>
      <c r="Z47" s="343"/>
      <c r="AA47" s="192" t="s">
        <v>327</v>
      </c>
      <c r="AB47" s="223" t="s">
        <v>246</v>
      </c>
      <c r="AC47" s="219"/>
      <c r="AD47" s="252"/>
      <c r="AE47" s="191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256"/>
      <c r="AQ47" s="259">
        <f t="shared" si="8"/>
        <v>0</v>
      </c>
      <c r="AR47" s="288"/>
    </row>
    <row r="48" spans="1:45" s="136" customFormat="1" ht="63.75" hidden="1" x14ac:dyDescent="0.25">
      <c r="A48" s="135">
        <v>22</v>
      </c>
      <c r="B48" s="133" t="s">
        <v>243</v>
      </c>
      <c r="C48" s="221" t="s">
        <v>385</v>
      </c>
      <c r="D48" s="195" t="s">
        <v>280</v>
      </c>
      <c r="E48" s="156" t="s">
        <v>172</v>
      </c>
      <c r="F48" s="156" t="s">
        <v>185</v>
      </c>
      <c r="G48" s="122" t="s">
        <v>610</v>
      </c>
      <c r="H48" s="156" t="s">
        <v>630</v>
      </c>
      <c r="I48" s="175" t="s">
        <v>598</v>
      </c>
      <c r="J48" s="175" t="s">
        <v>598</v>
      </c>
      <c r="K48" s="240">
        <v>1</v>
      </c>
      <c r="L48" s="185" t="s">
        <v>566</v>
      </c>
      <c r="M48" s="204" t="s">
        <v>191</v>
      </c>
      <c r="N48" s="195" t="s">
        <v>193</v>
      </c>
      <c r="O48" s="214" t="s">
        <v>563</v>
      </c>
      <c r="P48" s="208">
        <v>42000</v>
      </c>
      <c r="Q48" s="221">
        <v>223000</v>
      </c>
      <c r="R48" s="229" t="s">
        <v>211</v>
      </c>
      <c r="S48" s="143"/>
      <c r="T48" s="230"/>
      <c r="U48" s="191"/>
      <c r="V48" s="134"/>
      <c r="W48" s="134"/>
      <c r="X48" s="134"/>
      <c r="Y48" s="343"/>
      <c r="Z48" s="343"/>
      <c r="AA48" s="192" t="s">
        <v>327</v>
      </c>
      <c r="AB48" s="223" t="s">
        <v>246</v>
      </c>
      <c r="AC48" s="219"/>
      <c r="AD48" s="252"/>
      <c r="AE48" s="191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256"/>
      <c r="AQ48" s="259">
        <f t="shared" si="8"/>
        <v>0</v>
      </c>
      <c r="AR48" s="288"/>
    </row>
    <row r="49" spans="1:46" s="136" customFormat="1" ht="63.75" hidden="1" x14ac:dyDescent="0.25">
      <c r="A49" s="135">
        <v>23</v>
      </c>
      <c r="B49" s="133" t="s">
        <v>243</v>
      </c>
      <c r="C49" s="221" t="s">
        <v>385</v>
      </c>
      <c r="D49" s="195" t="s">
        <v>281</v>
      </c>
      <c r="E49" s="156" t="s">
        <v>172</v>
      </c>
      <c r="F49" s="156" t="s">
        <v>185</v>
      </c>
      <c r="G49" s="122" t="s">
        <v>611</v>
      </c>
      <c r="H49" s="156" t="s">
        <v>630</v>
      </c>
      <c r="I49" s="175" t="s">
        <v>598</v>
      </c>
      <c r="J49" s="175" t="s">
        <v>598</v>
      </c>
      <c r="K49" s="240">
        <v>1</v>
      </c>
      <c r="L49" s="185" t="s">
        <v>566</v>
      </c>
      <c r="M49" s="204" t="s">
        <v>191</v>
      </c>
      <c r="N49" s="195" t="s">
        <v>193</v>
      </c>
      <c r="O49" s="214" t="s">
        <v>563</v>
      </c>
      <c r="P49" s="208">
        <v>42000</v>
      </c>
      <c r="Q49" s="221">
        <v>223000</v>
      </c>
      <c r="R49" s="229" t="s">
        <v>211</v>
      </c>
      <c r="S49" s="143"/>
      <c r="T49" s="230"/>
      <c r="U49" s="191"/>
      <c r="V49" s="134"/>
      <c r="W49" s="134"/>
      <c r="X49" s="134"/>
      <c r="Y49" s="343"/>
      <c r="Z49" s="343"/>
      <c r="AA49" s="192" t="s">
        <v>327</v>
      </c>
      <c r="AB49" s="223" t="s">
        <v>246</v>
      </c>
      <c r="AC49" s="219"/>
      <c r="AD49" s="252"/>
      <c r="AE49" s="191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256"/>
      <c r="AQ49" s="259">
        <f t="shared" si="8"/>
        <v>0</v>
      </c>
      <c r="AR49" s="288"/>
    </row>
    <row r="50" spans="1:46" s="136" customFormat="1" ht="63.75" hidden="1" x14ac:dyDescent="0.25">
      <c r="A50" s="135">
        <v>24</v>
      </c>
      <c r="B50" s="133" t="s">
        <v>243</v>
      </c>
      <c r="C50" s="221" t="s">
        <v>385</v>
      </c>
      <c r="D50" s="195" t="s">
        <v>282</v>
      </c>
      <c r="E50" s="156" t="s">
        <v>172</v>
      </c>
      <c r="F50" s="156" t="s">
        <v>185</v>
      </c>
      <c r="G50" s="122" t="s">
        <v>612</v>
      </c>
      <c r="H50" s="156" t="s">
        <v>630</v>
      </c>
      <c r="I50" s="175" t="s">
        <v>598</v>
      </c>
      <c r="J50" s="175" t="s">
        <v>598</v>
      </c>
      <c r="K50" s="240">
        <v>1</v>
      </c>
      <c r="L50" s="185" t="s">
        <v>566</v>
      </c>
      <c r="M50" s="204" t="s">
        <v>191</v>
      </c>
      <c r="N50" s="195" t="s">
        <v>193</v>
      </c>
      <c r="O50" s="214" t="s">
        <v>563</v>
      </c>
      <c r="P50" s="208">
        <v>42000</v>
      </c>
      <c r="Q50" s="221">
        <v>223000</v>
      </c>
      <c r="R50" s="229" t="s">
        <v>211</v>
      </c>
      <c r="S50" s="143"/>
      <c r="T50" s="230"/>
      <c r="U50" s="191"/>
      <c r="V50" s="134"/>
      <c r="W50" s="134"/>
      <c r="X50" s="134"/>
      <c r="Y50" s="343"/>
      <c r="Z50" s="343"/>
      <c r="AA50" s="192" t="s">
        <v>327</v>
      </c>
      <c r="AB50" s="223" t="s">
        <v>246</v>
      </c>
      <c r="AC50" s="219"/>
      <c r="AD50" s="252"/>
      <c r="AE50" s="191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256"/>
      <c r="AQ50" s="259">
        <f t="shared" si="8"/>
        <v>0</v>
      </c>
      <c r="AR50" s="288"/>
    </row>
    <row r="51" spans="1:46" s="136" customFormat="1" ht="63.75" hidden="1" x14ac:dyDescent="0.25">
      <c r="A51" s="135">
        <v>25</v>
      </c>
      <c r="B51" s="133" t="s">
        <v>243</v>
      </c>
      <c r="C51" s="221" t="s">
        <v>385</v>
      </c>
      <c r="D51" s="195" t="s">
        <v>283</v>
      </c>
      <c r="E51" s="156" t="s">
        <v>172</v>
      </c>
      <c r="F51" s="156" t="s">
        <v>185</v>
      </c>
      <c r="G51" s="122" t="s">
        <v>613</v>
      </c>
      <c r="H51" s="156" t="s">
        <v>630</v>
      </c>
      <c r="I51" s="175" t="s">
        <v>598</v>
      </c>
      <c r="J51" s="175" t="s">
        <v>598</v>
      </c>
      <c r="K51" s="240">
        <v>1</v>
      </c>
      <c r="L51" s="185" t="s">
        <v>566</v>
      </c>
      <c r="M51" s="204" t="s">
        <v>191</v>
      </c>
      <c r="N51" s="195" t="s">
        <v>193</v>
      </c>
      <c r="O51" s="214" t="s">
        <v>563</v>
      </c>
      <c r="P51" s="208">
        <v>42000</v>
      </c>
      <c r="Q51" s="221">
        <v>223000</v>
      </c>
      <c r="R51" s="229" t="s">
        <v>211</v>
      </c>
      <c r="S51" s="143"/>
      <c r="T51" s="230"/>
      <c r="U51" s="191"/>
      <c r="V51" s="134"/>
      <c r="W51" s="134"/>
      <c r="X51" s="134"/>
      <c r="Y51" s="343"/>
      <c r="Z51" s="343"/>
      <c r="AA51" s="192" t="s">
        <v>327</v>
      </c>
      <c r="AB51" s="223" t="s">
        <v>246</v>
      </c>
      <c r="AC51" s="219"/>
      <c r="AD51" s="252"/>
      <c r="AE51" s="191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256"/>
      <c r="AQ51" s="259">
        <f t="shared" si="8"/>
        <v>0</v>
      </c>
      <c r="AR51" s="288"/>
    </row>
    <row r="52" spans="1:46" s="136" customFormat="1" ht="63.75" hidden="1" x14ac:dyDescent="0.25">
      <c r="A52" s="135">
        <v>26</v>
      </c>
      <c r="B52" s="133" t="s">
        <v>243</v>
      </c>
      <c r="C52" s="221" t="s">
        <v>385</v>
      </c>
      <c r="D52" s="195" t="s">
        <v>284</v>
      </c>
      <c r="E52" s="156" t="s">
        <v>172</v>
      </c>
      <c r="F52" s="156" t="s">
        <v>185</v>
      </c>
      <c r="G52" s="122" t="s">
        <v>614</v>
      </c>
      <c r="H52" s="156" t="s">
        <v>630</v>
      </c>
      <c r="I52" s="175" t="s">
        <v>598</v>
      </c>
      <c r="J52" s="175" t="s">
        <v>598</v>
      </c>
      <c r="K52" s="240">
        <v>1</v>
      </c>
      <c r="L52" s="185" t="s">
        <v>566</v>
      </c>
      <c r="M52" s="204" t="s">
        <v>191</v>
      </c>
      <c r="N52" s="195" t="s">
        <v>193</v>
      </c>
      <c r="O52" s="214" t="s">
        <v>563</v>
      </c>
      <c r="P52" s="208">
        <v>42000</v>
      </c>
      <c r="Q52" s="221">
        <v>223000</v>
      </c>
      <c r="R52" s="229" t="s">
        <v>211</v>
      </c>
      <c r="S52" s="143"/>
      <c r="T52" s="230"/>
      <c r="U52" s="191"/>
      <c r="V52" s="134"/>
      <c r="W52" s="134"/>
      <c r="X52" s="134"/>
      <c r="Y52" s="343"/>
      <c r="Z52" s="343"/>
      <c r="AA52" s="192" t="s">
        <v>327</v>
      </c>
      <c r="AB52" s="223" t="s">
        <v>246</v>
      </c>
      <c r="AC52" s="219"/>
      <c r="AD52" s="252"/>
      <c r="AE52" s="191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256"/>
      <c r="AQ52" s="259">
        <f t="shared" si="8"/>
        <v>0</v>
      </c>
      <c r="AR52" s="288"/>
    </row>
    <row r="53" spans="1:46" s="136" customFormat="1" ht="63.75" hidden="1" x14ac:dyDescent="0.25">
      <c r="A53" s="135">
        <v>27</v>
      </c>
      <c r="B53" s="133" t="s">
        <v>243</v>
      </c>
      <c r="C53" s="221" t="s">
        <v>385</v>
      </c>
      <c r="D53" s="195" t="s">
        <v>285</v>
      </c>
      <c r="E53" s="156" t="s">
        <v>172</v>
      </c>
      <c r="F53" s="156" t="s">
        <v>185</v>
      </c>
      <c r="G53" s="122" t="s">
        <v>615</v>
      </c>
      <c r="H53" s="156" t="s">
        <v>630</v>
      </c>
      <c r="I53" s="175" t="s">
        <v>598</v>
      </c>
      <c r="J53" s="175" t="s">
        <v>598</v>
      </c>
      <c r="K53" s="240">
        <v>1</v>
      </c>
      <c r="L53" s="185" t="s">
        <v>566</v>
      </c>
      <c r="M53" s="204" t="s">
        <v>191</v>
      </c>
      <c r="N53" s="195" t="s">
        <v>193</v>
      </c>
      <c r="O53" s="214" t="s">
        <v>563</v>
      </c>
      <c r="P53" s="208">
        <v>42000</v>
      </c>
      <c r="Q53" s="221">
        <v>223000</v>
      </c>
      <c r="R53" s="229" t="s">
        <v>211</v>
      </c>
      <c r="S53" s="143"/>
      <c r="T53" s="230"/>
      <c r="U53" s="191"/>
      <c r="V53" s="134"/>
      <c r="W53" s="134"/>
      <c r="X53" s="134"/>
      <c r="Y53" s="343"/>
      <c r="Z53" s="343"/>
      <c r="AA53" s="192" t="s">
        <v>327</v>
      </c>
      <c r="AB53" s="223" t="s">
        <v>246</v>
      </c>
      <c r="AC53" s="219"/>
      <c r="AD53" s="252"/>
      <c r="AE53" s="191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256"/>
      <c r="AQ53" s="259">
        <f t="shared" si="8"/>
        <v>0</v>
      </c>
      <c r="AR53" s="288"/>
    </row>
    <row r="54" spans="1:46" s="136" customFormat="1" ht="63.75" x14ac:dyDescent="0.25">
      <c r="A54" s="135">
        <v>18</v>
      </c>
      <c r="B54" s="133" t="s">
        <v>243</v>
      </c>
      <c r="C54" s="221" t="s">
        <v>385</v>
      </c>
      <c r="D54" s="195" t="s">
        <v>286</v>
      </c>
      <c r="E54" s="156" t="s">
        <v>172</v>
      </c>
      <c r="F54" s="156" t="s">
        <v>185</v>
      </c>
      <c r="G54" s="122" t="s">
        <v>616</v>
      </c>
      <c r="H54" s="156" t="s">
        <v>630</v>
      </c>
      <c r="I54" s="175" t="s">
        <v>598</v>
      </c>
      <c r="J54" s="175" t="s">
        <v>598</v>
      </c>
      <c r="K54" s="240">
        <v>1</v>
      </c>
      <c r="L54" s="185" t="s">
        <v>566</v>
      </c>
      <c r="M54" s="204" t="s">
        <v>191</v>
      </c>
      <c r="N54" s="195" t="s">
        <v>193</v>
      </c>
      <c r="O54" s="214" t="s">
        <v>563</v>
      </c>
      <c r="P54" s="208">
        <v>42000</v>
      </c>
      <c r="Q54" s="221">
        <v>223000</v>
      </c>
      <c r="R54" s="229" t="s">
        <v>211</v>
      </c>
      <c r="S54" s="141">
        <v>42736</v>
      </c>
      <c r="T54" s="224">
        <v>43100</v>
      </c>
      <c r="U54" s="310">
        <v>93732.12</v>
      </c>
      <c r="V54" s="311">
        <f>+U54</f>
        <v>93732.12</v>
      </c>
      <c r="W54" s="134"/>
      <c r="X54" s="134"/>
      <c r="Y54" s="343">
        <v>6271.61</v>
      </c>
      <c r="Z54" s="342">
        <f>+U54+Y54</f>
        <v>100003.73</v>
      </c>
      <c r="AA54" s="192" t="s">
        <v>327</v>
      </c>
      <c r="AB54" s="223" t="s">
        <v>246</v>
      </c>
      <c r="AC54" s="295">
        <v>5305</v>
      </c>
      <c r="AD54" s="251" t="s">
        <v>248</v>
      </c>
      <c r="AE54" s="355">
        <f>100003.73/12</f>
        <v>8333.6441666666669</v>
      </c>
      <c r="AF54" s="339">
        <f t="shared" ref="AF54:AP54" si="12">100003.73/12</f>
        <v>8333.6441666666669</v>
      </c>
      <c r="AG54" s="339">
        <f t="shared" si="12"/>
        <v>8333.6441666666669</v>
      </c>
      <c r="AH54" s="339">
        <f t="shared" si="12"/>
        <v>8333.6441666666669</v>
      </c>
      <c r="AI54" s="339">
        <f t="shared" si="12"/>
        <v>8333.6441666666669</v>
      </c>
      <c r="AJ54" s="339">
        <f t="shared" si="12"/>
        <v>8333.6441666666669</v>
      </c>
      <c r="AK54" s="339">
        <f t="shared" si="12"/>
        <v>8333.6441666666669</v>
      </c>
      <c r="AL54" s="339">
        <f t="shared" si="12"/>
        <v>8333.6441666666669</v>
      </c>
      <c r="AM54" s="339">
        <f t="shared" si="12"/>
        <v>8333.6441666666669</v>
      </c>
      <c r="AN54" s="339">
        <f t="shared" si="12"/>
        <v>8333.6441666666669</v>
      </c>
      <c r="AO54" s="339">
        <f t="shared" si="12"/>
        <v>8333.6441666666669</v>
      </c>
      <c r="AP54" s="356">
        <f t="shared" si="12"/>
        <v>8333.6441666666669</v>
      </c>
      <c r="AQ54" s="259">
        <f t="shared" si="8"/>
        <v>100003.73</v>
      </c>
      <c r="AR54" s="288" t="str">
        <f t="shared" ref="AR54:AR66" si="13">IF(AQ54=SUM(V54:X54),"OK","ERROR")</f>
        <v>ERROR</v>
      </c>
      <c r="AS54" s="325"/>
    </row>
    <row r="55" spans="1:46" s="136" customFormat="1" ht="63.75" hidden="1" x14ac:dyDescent="0.25">
      <c r="A55" s="135">
        <v>29</v>
      </c>
      <c r="B55" s="133" t="s">
        <v>243</v>
      </c>
      <c r="C55" s="221" t="s">
        <v>385</v>
      </c>
      <c r="D55" s="195" t="s">
        <v>287</v>
      </c>
      <c r="E55" s="156" t="s">
        <v>172</v>
      </c>
      <c r="F55" s="156" t="s">
        <v>185</v>
      </c>
      <c r="G55" s="122" t="s">
        <v>617</v>
      </c>
      <c r="H55" s="156" t="s">
        <v>630</v>
      </c>
      <c r="I55" s="175" t="s">
        <v>598</v>
      </c>
      <c r="J55" s="175" t="s">
        <v>598</v>
      </c>
      <c r="K55" s="240">
        <v>1</v>
      </c>
      <c r="L55" s="185" t="s">
        <v>566</v>
      </c>
      <c r="M55" s="204" t="s">
        <v>191</v>
      </c>
      <c r="N55" s="195" t="s">
        <v>193</v>
      </c>
      <c r="O55" s="214" t="s">
        <v>563</v>
      </c>
      <c r="P55" s="208">
        <v>42000</v>
      </c>
      <c r="Q55" s="221">
        <v>223000</v>
      </c>
      <c r="R55" s="229" t="s">
        <v>211</v>
      </c>
      <c r="S55" s="143"/>
      <c r="T55" s="230"/>
      <c r="U55" s="191"/>
      <c r="V55" s="134"/>
      <c r="W55" s="134"/>
      <c r="X55" s="134"/>
      <c r="Y55" s="343"/>
      <c r="Z55" s="343"/>
      <c r="AA55" s="192" t="s">
        <v>327</v>
      </c>
      <c r="AB55" s="223" t="s">
        <v>246</v>
      </c>
      <c r="AC55" s="219"/>
      <c r="AD55" s="252"/>
      <c r="AE55" s="191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256"/>
      <c r="AQ55" s="259">
        <f t="shared" si="8"/>
        <v>0</v>
      </c>
      <c r="AR55" s="288" t="str">
        <f t="shared" si="13"/>
        <v>OK</v>
      </c>
    </row>
    <row r="56" spans="1:46" s="136" customFormat="1" ht="63.75" hidden="1" x14ac:dyDescent="0.25">
      <c r="A56" s="135">
        <v>30</v>
      </c>
      <c r="B56" s="133" t="s">
        <v>243</v>
      </c>
      <c r="C56" s="221" t="s">
        <v>385</v>
      </c>
      <c r="D56" s="195" t="s">
        <v>288</v>
      </c>
      <c r="E56" s="156" t="s">
        <v>172</v>
      </c>
      <c r="F56" s="156" t="s">
        <v>185</v>
      </c>
      <c r="G56" s="122" t="s">
        <v>618</v>
      </c>
      <c r="H56" s="156" t="s">
        <v>630</v>
      </c>
      <c r="I56" s="175" t="s">
        <v>598</v>
      </c>
      <c r="J56" s="175" t="s">
        <v>598</v>
      </c>
      <c r="K56" s="240">
        <v>1</v>
      </c>
      <c r="L56" s="185" t="s">
        <v>566</v>
      </c>
      <c r="M56" s="204" t="s">
        <v>191</v>
      </c>
      <c r="N56" s="195" t="s">
        <v>193</v>
      </c>
      <c r="O56" s="214" t="s">
        <v>563</v>
      </c>
      <c r="P56" s="208">
        <v>42000</v>
      </c>
      <c r="Q56" s="221">
        <v>223000</v>
      </c>
      <c r="R56" s="229" t="s">
        <v>211</v>
      </c>
      <c r="S56" s="143"/>
      <c r="T56" s="230"/>
      <c r="U56" s="191"/>
      <c r="V56" s="134"/>
      <c r="W56" s="134"/>
      <c r="X56" s="134"/>
      <c r="Y56" s="343"/>
      <c r="Z56" s="343"/>
      <c r="AA56" s="192" t="s">
        <v>327</v>
      </c>
      <c r="AB56" s="223" t="s">
        <v>246</v>
      </c>
      <c r="AC56" s="219"/>
      <c r="AD56" s="252"/>
      <c r="AE56" s="191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256"/>
      <c r="AQ56" s="259">
        <f t="shared" si="8"/>
        <v>0</v>
      </c>
      <c r="AR56" s="288" t="str">
        <f t="shared" si="13"/>
        <v>OK</v>
      </c>
    </row>
    <row r="57" spans="1:46" s="136" customFormat="1" ht="63.75" hidden="1" x14ac:dyDescent="0.25">
      <c r="A57" s="135">
        <v>31</v>
      </c>
      <c r="B57" s="133" t="s">
        <v>243</v>
      </c>
      <c r="C57" s="221" t="s">
        <v>385</v>
      </c>
      <c r="D57" s="195" t="s">
        <v>289</v>
      </c>
      <c r="E57" s="156" t="s">
        <v>172</v>
      </c>
      <c r="F57" s="156" t="s">
        <v>185</v>
      </c>
      <c r="G57" s="122" t="s">
        <v>619</v>
      </c>
      <c r="H57" s="156" t="s">
        <v>630</v>
      </c>
      <c r="I57" s="175" t="s">
        <v>598</v>
      </c>
      <c r="J57" s="175" t="s">
        <v>598</v>
      </c>
      <c r="K57" s="240">
        <v>1</v>
      </c>
      <c r="L57" s="185" t="s">
        <v>566</v>
      </c>
      <c r="M57" s="204" t="s">
        <v>191</v>
      </c>
      <c r="N57" s="195" t="s">
        <v>193</v>
      </c>
      <c r="O57" s="214" t="s">
        <v>563</v>
      </c>
      <c r="P57" s="208">
        <v>42000</v>
      </c>
      <c r="Q57" s="221">
        <v>223000</v>
      </c>
      <c r="R57" s="229" t="s">
        <v>211</v>
      </c>
      <c r="S57" s="143"/>
      <c r="T57" s="230"/>
      <c r="U57" s="191"/>
      <c r="V57" s="134"/>
      <c r="W57" s="134"/>
      <c r="X57" s="134"/>
      <c r="Y57" s="343"/>
      <c r="Z57" s="343"/>
      <c r="AA57" s="192" t="s">
        <v>327</v>
      </c>
      <c r="AB57" s="223" t="s">
        <v>246</v>
      </c>
      <c r="AC57" s="219"/>
      <c r="AD57" s="252"/>
      <c r="AE57" s="191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256"/>
      <c r="AQ57" s="259">
        <f t="shared" si="8"/>
        <v>0</v>
      </c>
      <c r="AR57" s="288" t="str">
        <f t="shared" si="13"/>
        <v>OK</v>
      </c>
    </row>
    <row r="58" spans="1:46" s="136" customFormat="1" ht="63.75" hidden="1" x14ac:dyDescent="0.25">
      <c r="A58" s="135">
        <v>32</v>
      </c>
      <c r="B58" s="133" t="s">
        <v>243</v>
      </c>
      <c r="C58" s="221" t="s">
        <v>385</v>
      </c>
      <c r="D58" s="195" t="s">
        <v>290</v>
      </c>
      <c r="E58" s="156" t="s">
        <v>172</v>
      </c>
      <c r="F58" s="156" t="s">
        <v>185</v>
      </c>
      <c r="G58" s="122" t="s">
        <v>620</v>
      </c>
      <c r="H58" s="156" t="s">
        <v>630</v>
      </c>
      <c r="I58" s="175" t="s">
        <v>598</v>
      </c>
      <c r="J58" s="175" t="s">
        <v>598</v>
      </c>
      <c r="K58" s="240">
        <v>1</v>
      </c>
      <c r="L58" s="185" t="s">
        <v>566</v>
      </c>
      <c r="M58" s="204" t="s">
        <v>191</v>
      </c>
      <c r="N58" s="195" t="s">
        <v>193</v>
      </c>
      <c r="O58" s="214" t="s">
        <v>563</v>
      </c>
      <c r="P58" s="208">
        <v>42000</v>
      </c>
      <c r="Q58" s="221">
        <v>223000</v>
      </c>
      <c r="R58" s="229" t="s">
        <v>211</v>
      </c>
      <c r="S58" s="143"/>
      <c r="T58" s="230"/>
      <c r="U58" s="191"/>
      <c r="V58" s="134"/>
      <c r="W58" s="134"/>
      <c r="X58" s="134"/>
      <c r="Y58" s="343"/>
      <c r="Z58" s="343"/>
      <c r="AA58" s="192" t="s">
        <v>327</v>
      </c>
      <c r="AB58" s="223" t="s">
        <v>246</v>
      </c>
      <c r="AC58" s="219"/>
      <c r="AD58" s="252"/>
      <c r="AE58" s="191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256"/>
      <c r="AQ58" s="259">
        <f t="shared" si="8"/>
        <v>0</v>
      </c>
      <c r="AR58" s="288" t="str">
        <f t="shared" si="13"/>
        <v>OK</v>
      </c>
    </row>
    <row r="59" spans="1:46" s="136" customFormat="1" ht="63.75" x14ac:dyDescent="0.25">
      <c r="A59" s="135">
        <v>19</v>
      </c>
      <c r="B59" s="133" t="s">
        <v>243</v>
      </c>
      <c r="C59" s="221" t="s">
        <v>385</v>
      </c>
      <c r="D59" s="195" t="s">
        <v>291</v>
      </c>
      <c r="E59" s="156" t="s">
        <v>172</v>
      </c>
      <c r="F59" s="156" t="s">
        <v>185</v>
      </c>
      <c r="G59" s="122" t="s">
        <v>633</v>
      </c>
      <c r="H59" s="156" t="s">
        <v>630</v>
      </c>
      <c r="I59" s="176" t="s">
        <v>599</v>
      </c>
      <c r="J59" s="175" t="s">
        <v>598</v>
      </c>
      <c r="K59" s="240">
        <v>1</v>
      </c>
      <c r="L59" s="185" t="s">
        <v>566</v>
      </c>
      <c r="M59" s="204" t="s">
        <v>191</v>
      </c>
      <c r="N59" s="195" t="s">
        <v>193</v>
      </c>
      <c r="O59" s="214" t="s">
        <v>563</v>
      </c>
      <c r="P59" s="208">
        <v>42000</v>
      </c>
      <c r="Q59" s="221">
        <v>223000</v>
      </c>
      <c r="R59" s="229" t="s">
        <v>211</v>
      </c>
      <c r="S59" s="141">
        <v>42826</v>
      </c>
      <c r="T59" s="224">
        <v>42887</v>
      </c>
      <c r="U59" s="310">
        <v>52000</v>
      </c>
      <c r="V59" s="311">
        <f>+U59</f>
        <v>52000</v>
      </c>
      <c r="W59" s="134"/>
      <c r="X59" s="134"/>
      <c r="Y59" s="343">
        <v>10193.379999999999</v>
      </c>
      <c r="Z59" s="342">
        <f>+U59+Y59</f>
        <v>62193.38</v>
      </c>
      <c r="AA59" s="192" t="s">
        <v>327</v>
      </c>
      <c r="AB59" s="223" t="s">
        <v>246</v>
      </c>
      <c r="AC59" s="295">
        <v>5306</v>
      </c>
      <c r="AD59" s="251" t="s">
        <v>534</v>
      </c>
      <c r="AE59" s="355">
        <v>0</v>
      </c>
      <c r="AF59" s="339">
        <v>0</v>
      </c>
      <c r="AG59" s="339">
        <v>0</v>
      </c>
      <c r="AH59" s="339">
        <v>0</v>
      </c>
      <c r="AI59" s="339">
        <v>0</v>
      </c>
      <c r="AJ59" s="339">
        <v>0</v>
      </c>
      <c r="AK59" s="339">
        <v>0</v>
      </c>
      <c r="AL59" s="339">
        <f>+Z59*70%</f>
        <v>43535.365999999995</v>
      </c>
      <c r="AM59" s="339">
        <v>0</v>
      </c>
      <c r="AN59" s="339">
        <f>Z59-AL59</f>
        <v>18658.014000000003</v>
      </c>
      <c r="AO59" s="339">
        <v>0</v>
      </c>
      <c r="AP59" s="357">
        <v>0</v>
      </c>
      <c r="AQ59" s="259">
        <f t="shared" si="8"/>
        <v>62193.38</v>
      </c>
      <c r="AR59" s="288" t="str">
        <f t="shared" si="13"/>
        <v>ERROR</v>
      </c>
    </row>
    <row r="60" spans="1:46" s="136" customFormat="1" ht="63.75" hidden="1" x14ac:dyDescent="0.25">
      <c r="A60" s="135">
        <v>34</v>
      </c>
      <c r="B60" s="133" t="s">
        <v>243</v>
      </c>
      <c r="C60" s="221" t="s">
        <v>385</v>
      </c>
      <c r="D60" s="195" t="s">
        <v>292</v>
      </c>
      <c r="E60" s="156" t="s">
        <v>172</v>
      </c>
      <c r="F60" s="156" t="s">
        <v>185</v>
      </c>
      <c r="G60" s="122" t="s">
        <v>255</v>
      </c>
      <c r="H60" s="156" t="s">
        <v>630</v>
      </c>
      <c r="I60" s="177" t="s">
        <v>597</v>
      </c>
      <c r="J60" s="175" t="s">
        <v>598</v>
      </c>
      <c r="K60" s="240">
        <v>1</v>
      </c>
      <c r="L60" s="185" t="s">
        <v>566</v>
      </c>
      <c r="M60" s="204" t="s">
        <v>191</v>
      </c>
      <c r="N60" s="195" t="s">
        <v>193</v>
      </c>
      <c r="O60" s="214" t="s">
        <v>563</v>
      </c>
      <c r="P60" s="208">
        <v>42000</v>
      </c>
      <c r="Q60" s="221">
        <v>223000</v>
      </c>
      <c r="R60" s="229" t="s">
        <v>211</v>
      </c>
      <c r="S60" s="143"/>
      <c r="T60" s="230"/>
      <c r="U60" s="191"/>
      <c r="V60" s="134"/>
      <c r="W60" s="134"/>
      <c r="X60" s="134"/>
      <c r="Y60" s="343"/>
      <c r="Z60" s="343"/>
      <c r="AA60" s="192" t="s">
        <v>327</v>
      </c>
      <c r="AB60" s="223" t="s">
        <v>246</v>
      </c>
      <c r="AC60" s="219"/>
      <c r="AD60" s="252"/>
      <c r="AE60" s="191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256"/>
      <c r="AQ60" s="259">
        <f t="shared" si="8"/>
        <v>0</v>
      </c>
      <c r="AR60" s="288" t="str">
        <f t="shared" si="13"/>
        <v>OK</v>
      </c>
    </row>
    <row r="61" spans="1:46" s="136" customFormat="1" ht="63.75" hidden="1" x14ac:dyDescent="0.25">
      <c r="A61" s="135">
        <v>35</v>
      </c>
      <c r="B61" s="133" t="s">
        <v>243</v>
      </c>
      <c r="C61" s="221" t="s">
        <v>385</v>
      </c>
      <c r="D61" s="195" t="s">
        <v>293</v>
      </c>
      <c r="E61" s="156" t="s">
        <v>172</v>
      </c>
      <c r="F61" s="156" t="s">
        <v>185</v>
      </c>
      <c r="G61" s="122" t="s">
        <v>256</v>
      </c>
      <c r="H61" s="156" t="s">
        <v>630</v>
      </c>
      <c r="I61" s="176" t="s">
        <v>599</v>
      </c>
      <c r="J61" s="175" t="s">
        <v>598</v>
      </c>
      <c r="K61" s="240">
        <v>1</v>
      </c>
      <c r="L61" s="185" t="s">
        <v>566</v>
      </c>
      <c r="M61" s="204" t="s">
        <v>191</v>
      </c>
      <c r="N61" s="195" t="s">
        <v>193</v>
      </c>
      <c r="O61" s="214" t="s">
        <v>563</v>
      </c>
      <c r="P61" s="208">
        <v>42000</v>
      </c>
      <c r="Q61" s="221">
        <v>223000</v>
      </c>
      <c r="R61" s="229" t="s">
        <v>211</v>
      </c>
      <c r="S61" s="143"/>
      <c r="T61" s="230"/>
      <c r="U61" s="191"/>
      <c r="V61" s="134"/>
      <c r="W61" s="134"/>
      <c r="X61" s="134"/>
      <c r="Y61" s="343"/>
      <c r="Z61" s="343"/>
      <c r="AA61" s="192" t="s">
        <v>327</v>
      </c>
      <c r="AB61" s="223" t="s">
        <v>246</v>
      </c>
      <c r="AC61" s="219"/>
      <c r="AD61" s="252"/>
      <c r="AE61" s="191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256"/>
      <c r="AQ61" s="259">
        <f t="shared" si="8"/>
        <v>0</v>
      </c>
      <c r="AR61" s="288" t="str">
        <f t="shared" si="13"/>
        <v>OK</v>
      </c>
    </row>
    <row r="62" spans="1:46" s="136" customFormat="1" ht="63.75" x14ac:dyDescent="0.25">
      <c r="A62" s="135">
        <v>20</v>
      </c>
      <c r="B62" s="133" t="s">
        <v>243</v>
      </c>
      <c r="C62" s="221" t="s">
        <v>385</v>
      </c>
      <c r="D62" s="195" t="s">
        <v>294</v>
      </c>
      <c r="E62" s="156" t="s">
        <v>172</v>
      </c>
      <c r="F62" s="156" t="s">
        <v>185</v>
      </c>
      <c r="G62" s="122" t="s">
        <v>621</v>
      </c>
      <c r="H62" s="156" t="s">
        <v>630</v>
      </c>
      <c r="I62" s="178" t="s">
        <v>629</v>
      </c>
      <c r="J62" s="175" t="s">
        <v>598</v>
      </c>
      <c r="K62" s="240">
        <v>1</v>
      </c>
      <c r="L62" s="185" t="s">
        <v>566</v>
      </c>
      <c r="M62" s="204" t="s">
        <v>191</v>
      </c>
      <c r="N62" s="195" t="s">
        <v>193</v>
      </c>
      <c r="O62" s="214" t="s">
        <v>563</v>
      </c>
      <c r="P62" s="208">
        <v>42000</v>
      </c>
      <c r="Q62" s="221">
        <v>223000</v>
      </c>
      <c r="R62" s="229" t="s">
        <v>211</v>
      </c>
      <c r="S62" s="141">
        <v>42826</v>
      </c>
      <c r="T62" s="224">
        <v>43009</v>
      </c>
      <c r="U62" s="310">
        <v>29500</v>
      </c>
      <c r="V62" s="311">
        <v>29500</v>
      </c>
      <c r="W62" s="134"/>
      <c r="X62" s="134"/>
      <c r="Y62" s="343">
        <v>0</v>
      </c>
      <c r="Z62" s="342">
        <f>+U62+Y62</f>
        <v>29500</v>
      </c>
      <c r="AA62" s="192" t="s">
        <v>327</v>
      </c>
      <c r="AB62" s="223" t="s">
        <v>246</v>
      </c>
      <c r="AC62" s="295">
        <v>5307</v>
      </c>
      <c r="AD62" s="251" t="s">
        <v>535</v>
      </c>
      <c r="AE62" s="355">
        <v>0</v>
      </c>
      <c r="AF62" s="134">
        <v>0</v>
      </c>
      <c r="AG62" s="134">
        <v>0</v>
      </c>
      <c r="AH62" s="134">
        <v>0</v>
      </c>
      <c r="AI62" s="134">
        <v>0</v>
      </c>
      <c r="AJ62" s="134">
        <v>0</v>
      </c>
      <c r="AK62" s="134">
        <f>29500/10+8400</f>
        <v>11350</v>
      </c>
      <c r="AL62" s="134">
        <v>996.80200000000002</v>
      </c>
      <c r="AM62" s="134">
        <f>+AK62</f>
        <v>11350</v>
      </c>
      <c r="AN62" s="134">
        <f>29500/10-96.8</f>
        <v>2853.2</v>
      </c>
      <c r="AO62" s="134">
        <f t="shared" ref="AO62" si="14">29500/10</f>
        <v>2950</v>
      </c>
      <c r="AP62" s="357">
        <v>0</v>
      </c>
      <c r="AQ62" s="259">
        <f t="shared" ref="AQ62" si="15">SUM(AE62:AP62)</f>
        <v>29500.002</v>
      </c>
      <c r="AR62" s="288" t="str">
        <f t="shared" si="13"/>
        <v>ERROR</v>
      </c>
      <c r="AT62" s="325"/>
    </row>
    <row r="63" spans="1:46" s="136" customFormat="1" ht="63.75" hidden="1" x14ac:dyDescent="0.25">
      <c r="A63" s="135">
        <v>37</v>
      </c>
      <c r="B63" s="133" t="s">
        <v>243</v>
      </c>
      <c r="C63" s="221" t="s">
        <v>385</v>
      </c>
      <c r="D63" s="195" t="s">
        <v>295</v>
      </c>
      <c r="E63" s="156" t="s">
        <v>172</v>
      </c>
      <c r="F63" s="156" t="s">
        <v>185</v>
      </c>
      <c r="G63" s="122" t="s">
        <v>257</v>
      </c>
      <c r="H63" s="156" t="s">
        <v>630</v>
      </c>
      <c r="I63" s="175" t="s">
        <v>629</v>
      </c>
      <c r="J63" s="175" t="s">
        <v>598</v>
      </c>
      <c r="K63" s="240">
        <v>1</v>
      </c>
      <c r="L63" s="185" t="s">
        <v>566</v>
      </c>
      <c r="M63" s="204" t="s">
        <v>191</v>
      </c>
      <c r="N63" s="195" t="s">
        <v>193</v>
      </c>
      <c r="O63" s="214" t="s">
        <v>563</v>
      </c>
      <c r="P63" s="208">
        <v>42000</v>
      </c>
      <c r="Q63" s="221">
        <v>223000</v>
      </c>
      <c r="R63" s="229" t="s">
        <v>211</v>
      </c>
      <c r="S63" s="143"/>
      <c r="T63" s="230"/>
      <c r="U63" s="191"/>
      <c r="V63" s="134"/>
      <c r="W63" s="134"/>
      <c r="X63" s="134"/>
      <c r="Y63" s="343"/>
      <c r="Z63" s="343"/>
      <c r="AA63" s="192" t="s">
        <v>327</v>
      </c>
      <c r="AB63" s="223" t="s">
        <v>246</v>
      </c>
      <c r="AC63" s="219"/>
      <c r="AD63" s="252"/>
      <c r="AE63" s="191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256"/>
      <c r="AQ63" s="259">
        <f t="shared" si="8"/>
        <v>0</v>
      </c>
      <c r="AR63" s="288" t="str">
        <f t="shared" si="13"/>
        <v>OK</v>
      </c>
    </row>
    <row r="64" spans="1:46" s="136" customFormat="1" ht="63.75" hidden="1" x14ac:dyDescent="0.25">
      <c r="A64" s="135">
        <v>38</v>
      </c>
      <c r="B64" s="133" t="s">
        <v>243</v>
      </c>
      <c r="C64" s="221" t="s">
        <v>385</v>
      </c>
      <c r="D64" s="195" t="s">
        <v>296</v>
      </c>
      <c r="E64" s="156" t="s">
        <v>172</v>
      </c>
      <c r="F64" s="156" t="s">
        <v>185</v>
      </c>
      <c r="G64" s="122" t="s">
        <v>258</v>
      </c>
      <c r="H64" s="156" t="s">
        <v>630</v>
      </c>
      <c r="I64" s="175" t="s">
        <v>629</v>
      </c>
      <c r="J64" s="175" t="s">
        <v>598</v>
      </c>
      <c r="K64" s="240">
        <v>1</v>
      </c>
      <c r="L64" s="185" t="s">
        <v>566</v>
      </c>
      <c r="M64" s="204" t="s">
        <v>191</v>
      </c>
      <c r="N64" s="195" t="s">
        <v>193</v>
      </c>
      <c r="O64" s="214" t="s">
        <v>563</v>
      </c>
      <c r="P64" s="208">
        <v>42000</v>
      </c>
      <c r="Q64" s="221">
        <v>223000</v>
      </c>
      <c r="R64" s="229" t="s">
        <v>211</v>
      </c>
      <c r="S64" s="143"/>
      <c r="T64" s="230"/>
      <c r="U64" s="191"/>
      <c r="V64" s="134"/>
      <c r="W64" s="134"/>
      <c r="X64" s="134"/>
      <c r="Y64" s="343"/>
      <c r="Z64" s="343"/>
      <c r="AA64" s="192" t="s">
        <v>327</v>
      </c>
      <c r="AB64" s="223" t="s">
        <v>246</v>
      </c>
      <c r="AC64" s="219"/>
      <c r="AD64" s="252"/>
      <c r="AE64" s="191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256"/>
      <c r="AQ64" s="259">
        <f t="shared" si="8"/>
        <v>0</v>
      </c>
      <c r="AR64" s="288" t="str">
        <f t="shared" si="13"/>
        <v>OK</v>
      </c>
    </row>
    <row r="65" spans="1:45" s="136" customFormat="1" ht="63.75" hidden="1" x14ac:dyDescent="0.25">
      <c r="A65" s="135">
        <v>39</v>
      </c>
      <c r="B65" s="133" t="s">
        <v>243</v>
      </c>
      <c r="C65" s="221" t="s">
        <v>385</v>
      </c>
      <c r="D65" s="195" t="s">
        <v>297</v>
      </c>
      <c r="E65" s="156" t="s">
        <v>172</v>
      </c>
      <c r="F65" s="156" t="s">
        <v>185</v>
      </c>
      <c r="G65" s="122" t="s">
        <v>259</v>
      </c>
      <c r="H65" s="156" t="s">
        <v>630</v>
      </c>
      <c r="I65" s="175" t="s">
        <v>629</v>
      </c>
      <c r="J65" s="175" t="s">
        <v>598</v>
      </c>
      <c r="K65" s="240">
        <v>1</v>
      </c>
      <c r="L65" s="185" t="s">
        <v>566</v>
      </c>
      <c r="M65" s="204" t="s">
        <v>191</v>
      </c>
      <c r="N65" s="195" t="s">
        <v>193</v>
      </c>
      <c r="O65" s="214" t="s">
        <v>563</v>
      </c>
      <c r="P65" s="208">
        <v>42000</v>
      </c>
      <c r="Q65" s="221">
        <v>223000</v>
      </c>
      <c r="R65" s="229" t="s">
        <v>211</v>
      </c>
      <c r="S65" s="143"/>
      <c r="T65" s="230"/>
      <c r="U65" s="191"/>
      <c r="V65" s="134"/>
      <c r="W65" s="134"/>
      <c r="X65" s="134"/>
      <c r="Y65" s="343"/>
      <c r="Z65" s="343"/>
      <c r="AA65" s="192" t="s">
        <v>327</v>
      </c>
      <c r="AB65" s="223" t="s">
        <v>246</v>
      </c>
      <c r="AC65" s="219"/>
      <c r="AD65" s="252"/>
      <c r="AE65" s="191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256"/>
      <c r="AQ65" s="259">
        <f t="shared" si="8"/>
        <v>0</v>
      </c>
      <c r="AR65" s="288" t="str">
        <f t="shared" si="13"/>
        <v>OK</v>
      </c>
    </row>
    <row r="66" spans="1:45" s="136" customFormat="1" ht="63.75" x14ac:dyDescent="0.25">
      <c r="A66" s="135">
        <v>21</v>
      </c>
      <c r="B66" s="133" t="s">
        <v>243</v>
      </c>
      <c r="C66" s="221" t="s">
        <v>385</v>
      </c>
      <c r="D66" s="195" t="s">
        <v>298</v>
      </c>
      <c r="E66" s="156" t="s">
        <v>172</v>
      </c>
      <c r="F66" s="156" t="s">
        <v>185</v>
      </c>
      <c r="G66" s="326" t="s">
        <v>622</v>
      </c>
      <c r="H66" s="156" t="s">
        <v>630</v>
      </c>
      <c r="I66" s="176" t="s">
        <v>598</v>
      </c>
      <c r="J66" s="175" t="s">
        <v>598</v>
      </c>
      <c r="K66" s="240">
        <v>1</v>
      </c>
      <c r="L66" s="185" t="s">
        <v>566</v>
      </c>
      <c r="M66" s="204" t="s">
        <v>191</v>
      </c>
      <c r="N66" s="195" t="s">
        <v>193</v>
      </c>
      <c r="O66" s="214" t="s">
        <v>563</v>
      </c>
      <c r="P66" s="208">
        <v>42000</v>
      </c>
      <c r="Q66" s="221">
        <v>223000</v>
      </c>
      <c r="R66" s="229" t="s">
        <v>211</v>
      </c>
      <c r="S66" s="141">
        <v>42826</v>
      </c>
      <c r="T66" s="224">
        <v>43100</v>
      </c>
      <c r="U66" s="310">
        <v>32850</v>
      </c>
      <c r="V66" s="311">
        <f>+U66</f>
        <v>32850</v>
      </c>
      <c r="W66" s="134"/>
      <c r="X66" s="134"/>
      <c r="Y66" s="343">
        <v>-2130</v>
      </c>
      <c r="Z66" s="342">
        <f>+U66+Y66</f>
        <v>30720</v>
      </c>
      <c r="AA66" s="192" t="s">
        <v>327</v>
      </c>
      <c r="AB66" s="223" t="s">
        <v>246</v>
      </c>
      <c r="AC66" s="295">
        <v>5308</v>
      </c>
      <c r="AD66" s="251" t="s">
        <v>249</v>
      </c>
      <c r="AE66" s="355">
        <f>30720/12</f>
        <v>2560</v>
      </c>
      <c r="AF66" s="339">
        <f t="shared" ref="AF66:AP66" si="16">30720/12</f>
        <v>2560</v>
      </c>
      <c r="AG66" s="339">
        <f t="shared" si="16"/>
        <v>2560</v>
      </c>
      <c r="AH66" s="339">
        <f t="shared" si="16"/>
        <v>2560</v>
      </c>
      <c r="AI66" s="339">
        <f t="shared" si="16"/>
        <v>2560</v>
      </c>
      <c r="AJ66" s="339">
        <f t="shared" si="16"/>
        <v>2560</v>
      </c>
      <c r="AK66" s="339">
        <f t="shared" si="16"/>
        <v>2560</v>
      </c>
      <c r="AL66" s="339">
        <f t="shared" si="16"/>
        <v>2560</v>
      </c>
      <c r="AM66" s="339">
        <f t="shared" si="16"/>
        <v>2560</v>
      </c>
      <c r="AN66" s="339">
        <f t="shared" si="16"/>
        <v>2560</v>
      </c>
      <c r="AO66" s="339">
        <f t="shared" si="16"/>
        <v>2560</v>
      </c>
      <c r="AP66" s="356">
        <f t="shared" si="16"/>
        <v>2560</v>
      </c>
      <c r="AQ66" s="259">
        <f t="shared" si="8"/>
        <v>30720</v>
      </c>
      <c r="AR66" s="288" t="str">
        <f t="shared" si="13"/>
        <v>ERROR</v>
      </c>
    </row>
    <row r="67" spans="1:45" s="136" customFormat="1" ht="63.75" hidden="1" x14ac:dyDescent="0.25">
      <c r="A67" s="135">
        <v>41</v>
      </c>
      <c r="B67" s="133" t="s">
        <v>243</v>
      </c>
      <c r="C67" s="221" t="s">
        <v>385</v>
      </c>
      <c r="D67" s="195" t="s">
        <v>299</v>
      </c>
      <c r="E67" s="156" t="s">
        <v>172</v>
      </c>
      <c r="F67" s="156" t="s">
        <v>185</v>
      </c>
      <c r="G67" s="122" t="s">
        <v>260</v>
      </c>
      <c r="H67" s="156" t="s">
        <v>630</v>
      </c>
      <c r="I67" s="175" t="s">
        <v>598</v>
      </c>
      <c r="J67" s="175" t="s">
        <v>598</v>
      </c>
      <c r="K67" s="240">
        <v>1</v>
      </c>
      <c r="L67" s="185" t="s">
        <v>566</v>
      </c>
      <c r="M67" s="204" t="s">
        <v>191</v>
      </c>
      <c r="N67" s="195" t="s">
        <v>193</v>
      </c>
      <c r="O67" s="214" t="s">
        <v>563</v>
      </c>
      <c r="P67" s="208">
        <v>42000</v>
      </c>
      <c r="Q67" s="221">
        <v>223000</v>
      </c>
      <c r="R67" s="229" t="s">
        <v>211</v>
      </c>
      <c r="S67" s="143"/>
      <c r="T67" s="230"/>
      <c r="U67" s="191"/>
      <c r="V67" s="134"/>
      <c r="W67" s="134"/>
      <c r="X67" s="134"/>
      <c r="Y67" s="343"/>
      <c r="Z67" s="343"/>
      <c r="AA67" s="192" t="s">
        <v>327</v>
      </c>
      <c r="AB67" s="223" t="s">
        <v>246</v>
      </c>
      <c r="AC67" s="219"/>
      <c r="AD67" s="252"/>
      <c r="AE67" s="191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256"/>
      <c r="AQ67" s="259">
        <f t="shared" si="8"/>
        <v>0</v>
      </c>
      <c r="AR67" s="288"/>
    </row>
    <row r="68" spans="1:45" s="136" customFormat="1" ht="63.75" hidden="1" x14ac:dyDescent="0.25">
      <c r="A68" s="135">
        <v>42</v>
      </c>
      <c r="B68" s="133" t="s">
        <v>243</v>
      </c>
      <c r="C68" s="221" t="s">
        <v>385</v>
      </c>
      <c r="D68" s="195" t="s">
        <v>300</v>
      </c>
      <c r="E68" s="156" t="s">
        <v>172</v>
      </c>
      <c r="F68" s="156" t="s">
        <v>185</v>
      </c>
      <c r="G68" s="122" t="s">
        <v>261</v>
      </c>
      <c r="H68" s="156" t="s">
        <v>630</v>
      </c>
      <c r="I68" s="175" t="s">
        <v>598</v>
      </c>
      <c r="J68" s="175" t="s">
        <v>598</v>
      </c>
      <c r="K68" s="240">
        <v>1</v>
      </c>
      <c r="L68" s="185" t="s">
        <v>566</v>
      </c>
      <c r="M68" s="204" t="s">
        <v>191</v>
      </c>
      <c r="N68" s="195" t="s">
        <v>193</v>
      </c>
      <c r="O68" s="214" t="s">
        <v>563</v>
      </c>
      <c r="P68" s="208">
        <v>42000</v>
      </c>
      <c r="Q68" s="221">
        <v>223000</v>
      </c>
      <c r="R68" s="229" t="s">
        <v>211</v>
      </c>
      <c r="S68" s="143"/>
      <c r="T68" s="230"/>
      <c r="U68" s="191"/>
      <c r="V68" s="134"/>
      <c r="W68" s="134"/>
      <c r="X68" s="134"/>
      <c r="Y68" s="343"/>
      <c r="Z68" s="343"/>
      <c r="AA68" s="192" t="s">
        <v>327</v>
      </c>
      <c r="AB68" s="223" t="s">
        <v>246</v>
      </c>
      <c r="AC68" s="219"/>
      <c r="AD68" s="252"/>
      <c r="AE68" s="191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256"/>
      <c r="AQ68" s="259">
        <f t="shared" si="8"/>
        <v>0</v>
      </c>
      <c r="AR68" s="288"/>
    </row>
    <row r="69" spans="1:45" s="136" customFormat="1" ht="63.75" hidden="1" x14ac:dyDescent="0.25">
      <c r="A69" s="135">
        <v>43</v>
      </c>
      <c r="B69" s="133" t="s">
        <v>243</v>
      </c>
      <c r="C69" s="221" t="s">
        <v>385</v>
      </c>
      <c r="D69" s="195" t="s">
        <v>301</v>
      </c>
      <c r="E69" s="156" t="s">
        <v>172</v>
      </c>
      <c r="F69" s="156" t="s">
        <v>185</v>
      </c>
      <c r="G69" s="122" t="s">
        <v>262</v>
      </c>
      <c r="H69" s="156" t="s">
        <v>630</v>
      </c>
      <c r="I69" s="175" t="s">
        <v>598</v>
      </c>
      <c r="J69" s="175" t="s">
        <v>598</v>
      </c>
      <c r="K69" s="240">
        <v>1</v>
      </c>
      <c r="L69" s="185" t="s">
        <v>566</v>
      </c>
      <c r="M69" s="204" t="s">
        <v>191</v>
      </c>
      <c r="N69" s="195" t="s">
        <v>193</v>
      </c>
      <c r="O69" s="214" t="s">
        <v>563</v>
      </c>
      <c r="P69" s="208">
        <v>42000</v>
      </c>
      <c r="Q69" s="221">
        <v>223000</v>
      </c>
      <c r="R69" s="229" t="s">
        <v>211</v>
      </c>
      <c r="S69" s="143"/>
      <c r="T69" s="230"/>
      <c r="U69" s="191"/>
      <c r="V69" s="134"/>
      <c r="W69" s="134"/>
      <c r="X69" s="134"/>
      <c r="Y69" s="343"/>
      <c r="Z69" s="343"/>
      <c r="AA69" s="192" t="s">
        <v>327</v>
      </c>
      <c r="AB69" s="223" t="s">
        <v>246</v>
      </c>
      <c r="AC69" s="219"/>
      <c r="AD69" s="252"/>
      <c r="AE69" s="191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256"/>
      <c r="AQ69" s="259">
        <f t="shared" si="8"/>
        <v>0</v>
      </c>
      <c r="AR69" s="288" t="str">
        <f t="shared" ref="AR69:AR93" si="17">IF(AQ69=SUM(V69:X69),"OK","ERROR")</f>
        <v>OK</v>
      </c>
    </row>
    <row r="70" spans="1:45" s="136" customFormat="1" ht="63.75" hidden="1" x14ac:dyDescent="0.25">
      <c r="A70" s="135">
        <v>44</v>
      </c>
      <c r="B70" s="133" t="s">
        <v>243</v>
      </c>
      <c r="C70" s="221" t="s">
        <v>385</v>
      </c>
      <c r="D70" s="195" t="s">
        <v>302</v>
      </c>
      <c r="E70" s="156" t="s">
        <v>172</v>
      </c>
      <c r="F70" s="156" t="s">
        <v>185</v>
      </c>
      <c r="G70" s="122" t="s">
        <v>263</v>
      </c>
      <c r="H70" s="156" t="s">
        <v>630</v>
      </c>
      <c r="I70" s="175" t="s">
        <v>598</v>
      </c>
      <c r="J70" s="175" t="s">
        <v>598</v>
      </c>
      <c r="K70" s="240">
        <v>1</v>
      </c>
      <c r="L70" s="185" t="s">
        <v>566</v>
      </c>
      <c r="M70" s="204" t="s">
        <v>191</v>
      </c>
      <c r="N70" s="195" t="s">
        <v>193</v>
      </c>
      <c r="O70" s="214" t="s">
        <v>563</v>
      </c>
      <c r="P70" s="208">
        <v>42000</v>
      </c>
      <c r="Q70" s="221">
        <v>223000</v>
      </c>
      <c r="R70" s="229" t="s">
        <v>211</v>
      </c>
      <c r="S70" s="143"/>
      <c r="T70" s="230"/>
      <c r="U70" s="191"/>
      <c r="V70" s="134"/>
      <c r="W70" s="134"/>
      <c r="X70" s="134"/>
      <c r="Y70" s="343"/>
      <c r="Z70" s="343"/>
      <c r="AA70" s="192" t="s">
        <v>327</v>
      </c>
      <c r="AB70" s="223" t="s">
        <v>246</v>
      </c>
      <c r="AC70" s="219"/>
      <c r="AD70" s="252"/>
      <c r="AE70" s="191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256"/>
      <c r="AQ70" s="259">
        <f t="shared" si="8"/>
        <v>0</v>
      </c>
      <c r="AR70" s="288" t="str">
        <f t="shared" si="17"/>
        <v>OK</v>
      </c>
    </row>
    <row r="71" spans="1:45" s="136" customFormat="1" ht="63.75" hidden="1" x14ac:dyDescent="0.25">
      <c r="A71" s="135">
        <v>45</v>
      </c>
      <c r="B71" s="133" t="s">
        <v>243</v>
      </c>
      <c r="C71" s="221" t="s">
        <v>385</v>
      </c>
      <c r="D71" s="195" t="s">
        <v>303</v>
      </c>
      <c r="E71" s="156" t="s">
        <v>172</v>
      </c>
      <c r="F71" s="156" t="s">
        <v>185</v>
      </c>
      <c r="G71" s="122" t="s">
        <v>583</v>
      </c>
      <c r="H71" s="156" t="s">
        <v>630</v>
      </c>
      <c r="I71" s="175" t="s">
        <v>598</v>
      </c>
      <c r="J71" s="175" t="s">
        <v>598</v>
      </c>
      <c r="K71" s="240">
        <v>1</v>
      </c>
      <c r="L71" s="185" t="s">
        <v>566</v>
      </c>
      <c r="M71" s="204" t="s">
        <v>191</v>
      </c>
      <c r="N71" s="195" t="s">
        <v>193</v>
      </c>
      <c r="O71" s="214" t="s">
        <v>563</v>
      </c>
      <c r="P71" s="208">
        <v>42000</v>
      </c>
      <c r="Q71" s="221">
        <v>223000</v>
      </c>
      <c r="R71" s="229" t="s">
        <v>211</v>
      </c>
      <c r="S71" s="143"/>
      <c r="T71" s="230"/>
      <c r="U71" s="191"/>
      <c r="V71" s="134"/>
      <c r="W71" s="134"/>
      <c r="X71" s="134"/>
      <c r="Y71" s="343"/>
      <c r="Z71" s="343"/>
      <c r="AA71" s="192" t="s">
        <v>327</v>
      </c>
      <c r="AB71" s="223" t="s">
        <v>246</v>
      </c>
      <c r="AC71" s="219"/>
      <c r="AD71" s="252"/>
      <c r="AE71" s="191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256"/>
      <c r="AQ71" s="259">
        <f t="shared" si="8"/>
        <v>0</v>
      </c>
      <c r="AR71" s="288" t="str">
        <f t="shared" si="17"/>
        <v>OK</v>
      </c>
    </row>
    <row r="72" spans="1:45" s="136" customFormat="1" ht="63.75" hidden="1" x14ac:dyDescent="0.25">
      <c r="A72" s="135">
        <v>46</v>
      </c>
      <c r="B72" s="133" t="s">
        <v>243</v>
      </c>
      <c r="C72" s="221" t="s">
        <v>385</v>
      </c>
      <c r="D72" s="195" t="s">
        <v>304</v>
      </c>
      <c r="E72" s="156" t="s">
        <v>172</v>
      </c>
      <c r="F72" s="156" t="s">
        <v>185</v>
      </c>
      <c r="G72" s="122" t="s">
        <v>584</v>
      </c>
      <c r="H72" s="156" t="s">
        <v>630</v>
      </c>
      <c r="I72" s="175" t="s">
        <v>598</v>
      </c>
      <c r="J72" s="175" t="s">
        <v>598</v>
      </c>
      <c r="K72" s="240">
        <v>1</v>
      </c>
      <c r="L72" s="185" t="s">
        <v>566</v>
      </c>
      <c r="M72" s="204" t="s">
        <v>191</v>
      </c>
      <c r="N72" s="195" t="s">
        <v>193</v>
      </c>
      <c r="O72" s="214" t="s">
        <v>563</v>
      </c>
      <c r="P72" s="208">
        <v>42000</v>
      </c>
      <c r="Q72" s="221">
        <v>223000</v>
      </c>
      <c r="R72" s="229" t="s">
        <v>211</v>
      </c>
      <c r="S72" s="143"/>
      <c r="T72" s="230"/>
      <c r="U72" s="191"/>
      <c r="V72" s="134"/>
      <c r="W72" s="134"/>
      <c r="X72" s="134"/>
      <c r="Y72" s="343"/>
      <c r="Z72" s="343"/>
      <c r="AA72" s="192" t="s">
        <v>327</v>
      </c>
      <c r="AB72" s="223" t="s">
        <v>246</v>
      </c>
      <c r="AC72" s="219"/>
      <c r="AD72" s="252"/>
      <c r="AE72" s="191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256"/>
      <c r="AQ72" s="259">
        <f t="shared" si="8"/>
        <v>0</v>
      </c>
      <c r="AR72" s="288" t="str">
        <f t="shared" si="17"/>
        <v>OK</v>
      </c>
    </row>
    <row r="73" spans="1:45" s="136" customFormat="1" ht="63.75" hidden="1" x14ac:dyDescent="0.25">
      <c r="A73" s="135">
        <v>47</v>
      </c>
      <c r="B73" s="133" t="s">
        <v>243</v>
      </c>
      <c r="C73" s="221" t="s">
        <v>385</v>
      </c>
      <c r="D73" s="195" t="s">
        <v>305</v>
      </c>
      <c r="E73" s="156" t="s">
        <v>172</v>
      </c>
      <c r="F73" s="156" t="s">
        <v>185</v>
      </c>
      <c r="G73" s="122" t="s">
        <v>264</v>
      </c>
      <c r="H73" s="156" t="s">
        <v>630</v>
      </c>
      <c r="I73" s="175" t="s">
        <v>598</v>
      </c>
      <c r="J73" s="175" t="s">
        <v>598</v>
      </c>
      <c r="K73" s="240">
        <v>1</v>
      </c>
      <c r="L73" s="185" t="s">
        <v>566</v>
      </c>
      <c r="M73" s="204" t="s">
        <v>191</v>
      </c>
      <c r="N73" s="195" t="s">
        <v>193</v>
      </c>
      <c r="O73" s="214" t="s">
        <v>563</v>
      </c>
      <c r="P73" s="208">
        <v>42000</v>
      </c>
      <c r="Q73" s="221">
        <v>223000</v>
      </c>
      <c r="R73" s="229" t="s">
        <v>211</v>
      </c>
      <c r="S73" s="143"/>
      <c r="T73" s="230"/>
      <c r="U73" s="191"/>
      <c r="V73" s="134"/>
      <c r="W73" s="134"/>
      <c r="X73" s="134"/>
      <c r="Y73" s="343"/>
      <c r="Z73" s="343"/>
      <c r="AA73" s="192" t="s">
        <v>327</v>
      </c>
      <c r="AB73" s="223" t="s">
        <v>246</v>
      </c>
      <c r="AC73" s="219"/>
      <c r="AD73" s="252"/>
      <c r="AE73" s="191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256"/>
      <c r="AQ73" s="259">
        <f t="shared" si="8"/>
        <v>0</v>
      </c>
      <c r="AR73" s="288" t="str">
        <f t="shared" si="17"/>
        <v>OK</v>
      </c>
    </row>
    <row r="74" spans="1:45" s="136" customFormat="1" ht="63.75" hidden="1" x14ac:dyDescent="0.25">
      <c r="A74" s="135">
        <v>48</v>
      </c>
      <c r="B74" s="133" t="s">
        <v>243</v>
      </c>
      <c r="C74" s="221" t="s">
        <v>385</v>
      </c>
      <c r="D74" s="195" t="s">
        <v>306</v>
      </c>
      <c r="E74" s="156" t="s">
        <v>172</v>
      </c>
      <c r="F74" s="156" t="s">
        <v>185</v>
      </c>
      <c r="G74" s="122" t="s">
        <v>265</v>
      </c>
      <c r="H74" s="156" t="s">
        <v>630</v>
      </c>
      <c r="I74" s="175" t="s">
        <v>598</v>
      </c>
      <c r="J74" s="175" t="s">
        <v>598</v>
      </c>
      <c r="K74" s="240">
        <v>1</v>
      </c>
      <c r="L74" s="185" t="s">
        <v>566</v>
      </c>
      <c r="M74" s="204" t="s">
        <v>191</v>
      </c>
      <c r="N74" s="195" t="s">
        <v>193</v>
      </c>
      <c r="O74" s="214" t="s">
        <v>563</v>
      </c>
      <c r="P74" s="208">
        <v>42000</v>
      </c>
      <c r="Q74" s="221">
        <v>223000</v>
      </c>
      <c r="R74" s="229" t="s">
        <v>211</v>
      </c>
      <c r="S74" s="143"/>
      <c r="T74" s="230"/>
      <c r="U74" s="191"/>
      <c r="V74" s="134"/>
      <c r="W74" s="134"/>
      <c r="X74" s="134"/>
      <c r="Y74" s="343"/>
      <c r="Z74" s="343"/>
      <c r="AA74" s="192" t="s">
        <v>327</v>
      </c>
      <c r="AB74" s="223" t="s">
        <v>246</v>
      </c>
      <c r="AC74" s="219"/>
      <c r="AD74" s="252"/>
      <c r="AE74" s="191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256"/>
      <c r="AQ74" s="259">
        <f t="shared" si="8"/>
        <v>0</v>
      </c>
      <c r="AR74" s="288" t="str">
        <f t="shared" si="17"/>
        <v>OK</v>
      </c>
    </row>
    <row r="75" spans="1:45" s="136" customFormat="1" ht="63.75" hidden="1" x14ac:dyDescent="0.25">
      <c r="A75" s="135">
        <v>49</v>
      </c>
      <c r="B75" s="133" t="s">
        <v>243</v>
      </c>
      <c r="C75" s="221" t="s">
        <v>385</v>
      </c>
      <c r="D75" s="195" t="s">
        <v>307</v>
      </c>
      <c r="E75" s="156" t="s">
        <v>172</v>
      </c>
      <c r="F75" s="156" t="s">
        <v>185</v>
      </c>
      <c r="G75" s="122" t="s">
        <v>266</v>
      </c>
      <c r="H75" s="156" t="s">
        <v>630</v>
      </c>
      <c r="I75" s="175" t="s">
        <v>598</v>
      </c>
      <c r="J75" s="175" t="s">
        <v>598</v>
      </c>
      <c r="K75" s="240">
        <v>1</v>
      </c>
      <c r="L75" s="185" t="s">
        <v>566</v>
      </c>
      <c r="M75" s="204" t="s">
        <v>191</v>
      </c>
      <c r="N75" s="195" t="s">
        <v>193</v>
      </c>
      <c r="O75" s="214" t="s">
        <v>563</v>
      </c>
      <c r="P75" s="208">
        <v>42000</v>
      </c>
      <c r="Q75" s="221">
        <v>223000</v>
      </c>
      <c r="R75" s="229" t="s">
        <v>211</v>
      </c>
      <c r="S75" s="143"/>
      <c r="T75" s="230"/>
      <c r="U75" s="191"/>
      <c r="V75" s="134"/>
      <c r="W75" s="134"/>
      <c r="X75" s="134"/>
      <c r="Y75" s="343"/>
      <c r="Z75" s="343"/>
      <c r="AA75" s="192" t="s">
        <v>327</v>
      </c>
      <c r="AB75" s="223" t="s">
        <v>246</v>
      </c>
      <c r="AC75" s="219"/>
      <c r="AD75" s="252"/>
      <c r="AE75" s="191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256"/>
      <c r="AQ75" s="259">
        <f t="shared" si="8"/>
        <v>0</v>
      </c>
      <c r="AR75" s="288" t="str">
        <f t="shared" si="17"/>
        <v>OK</v>
      </c>
    </row>
    <row r="76" spans="1:45" s="136" customFormat="1" ht="63.75" hidden="1" x14ac:dyDescent="0.25">
      <c r="A76" s="135">
        <v>50</v>
      </c>
      <c r="B76" s="133" t="s">
        <v>243</v>
      </c>
      <c r="C76" s="221" t="s">
        <v>385</v>
      </c>
      <c r="D76" s="195" t="s">
        <v>308</v>
      </c>
      <c r="E76" s="156" t="s">
        <v>172</v>
      </c>
      <c r="F76" s="156" t="s">
        <v>185</v>
      </c>
      <c r="G76" s="122" t="s">
        <v>585</v>
      </c>
      <c r="H76" s="156" t="s">
        <v>630</v>
      </c>
      <c r="I76" s="175" t="s">
        <v>598</v>
      </c>
      <c r="J76" s="175" t="s">
        <v>598</v>
      </c>
      <c r="K76" s="240">
        <v>1</v>
      </c>
      <c r="L76" s="185" t="s">
        <v>566</v>
      </c>
      <c r="M76" s="204" t="s">
        <v>191</v>
      </c>
      <c r="N76" s="195" t="s">
        <v>193</v>
      </c>
      <c r="O76" s="214" t="s">
        <v>563</v>
      </c>
      <c r="P76" s="208">
        <v>42000</v>
      </c>
      <c r="Q76" s="221">
        <v>223000</v>
      </c>
      <c r="R76" s="229" t="s">
        <v>211</v>
      </c>
      <c r="S76" s="143"/>
      <c r="T76" s="230"/>
      <c r="U76" s="191"/>
      <c r="V76" s="134"/>
      <c r="W76" s="134"/>
      <c r="X76" s="134"/>
      <c r="Y76" s="343"/>
      <c r="Z76" s="343"/>
      <c r="AA76" s="192" t="s">
        <v>327</v>
      </c>
      <c r="AB76" s="223" t="s">
        <v>246</v>
      </c>
      <c r="AC76" s="219"/>
      <c r="AD76" s="252"/>
      <c r="AE76" s="191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256"/>
      <c r="AQ76" s="259">
        <f t="shared" si="8"/>
        <v>0</v>
      </c>
      <c r="AR76" s="288" t="str">
        <f t="shared" si="17"/>
        <v>OK</v>
      </c>
    </row>
    <row r="77" spans="1:45" s="136" customFormat="1" ht="63.75" x14ac:dyDescent="0.25">
      <c r="A77" s="135">
        <v>22</v>
      </c>
      <c r="B77" s="133" t="s">
        <v>243</v>
      </c>
      <c r="C77" s="221" t="s">
        <v>385</v>
      </c>
      <c r="D77" s="195" t="s">
        <v>309</v>
      </c>
      <c r="E77" s="156" t="s">
        <v>172</v>
      </c>
      <c r="F77" s="156" t="s">
        <v>185</v>
      </c>
      <c r="G77" s="122" t="s">
        <v>250</v>
      </c>
      <c r="H77" s="156" t="s">
        <v>630</v>
      </c>
      <c r="I77" s="175" t="s">
        <v>598</v>
      </c>
      <c r="J77" s="175" t="s">
        <v>598</v>
      </c>
      <c r="K77" s="240">
        <v>1</v>
      </c>
      <c r="L77" s="185" t="s">
        <v>566</v>
      </c>
      <c r="M77" s="204" t="s">
        <v>191</v>
      </c>
      <c r="N77" s="195" t="s">
        <v>193</v>
      </c>
      <c r="O77" s="214" t="s">
        <v>563</v>
      </c>
      <c r="P77" s="208">
        <v>42000</v>
      </c>
      <c r="Q77" s="221">
        <v>223000</v>
      </c>
      <c r="R77" s="229" t="s">
        <v>211</v>
      </c>
      <c r="S77" s="141">
        <v>42887</v>
      </c>
      <c r="T77" s="224">
        <v>43100</v>
      </c>
      <c r="U77" s="310">
        <v>2630</v>
      </c>
      <c r="V77" s="311">
        <f>+U77</f>
        <v>2630</v>
      </c>
      <c r="W77" s="134"/>
      <c r="X77" s="134"/>
      <c r="Y77" s="343">
        <v>150</v>
      </c>
      <c r="Z77" s="342">
        <f>+U77+Y77</f>
        <v>2780</v>
      </c>
      <c r="AA77" s="192" t="s">
        <v>327</v>
      </c>
      <c r="AB77" s="223" t="s">
        <v>246</v>
      </c>
      <c r="AC77" s="295">
        <v>5314</v>
      </c>
      <c r="AD77" s="251" t="s">
        <v>250</v>
      </c>
      <c r="AE77" s="355">
        <f>2780/12</f>
        <v>231.66666666666666</v>
      </c>
      <c r="AF77" s="339">
        <v>231.67</v>
      </c>
      <c r="AG77" s="339">
        <v>231.67</v>
      </c>
      <c r="AH77" s="339">
        <v>231.67</v>
      </c>
      <c r="AI77" s="339">
        <v>231.67</v>
      </c>
      <c r="AJ77" s="339">
        <v>231.67</v>
      </c>
      <c r="AK77" s="339">
        <v>231.67</v>
      </c>
      <c r="AL77" s="339">
        <v>231.67</v>
      </c>
      <c r="AM77" s="339">
        <v>231.6608333333333</v>
      </c>
      <c r="AN77" s="339">
        <v>231.6608333333333</v>
      </c>
      <c r="AO77" s="339">
        <v>231.6608333333333</v>
      </c>
      <c r="AP77" s="356">
        <v>231.6608333333333</v>
      </c>
      <c r="AQ77" s="259">
        <f t="shared" ref="AQ77" si="18">SUM(AE77:AP77)</f>
        <v>2780</v>
      </c>
      <c r="AR77" s="288" t="str">
        <f t="shared" si="17"/>
        <v>ERROR</v>
      </c>
      <c r="AS77" s="325">
        <f>+U77-AQ77</f>
        <v>-150</v>
      </c>
    </row>
    <row r="78" spans="1:45" s="136" customFormat="1" ht="63.75" hidden="1" x14ac:dyDescent="0.25">
      <c r="A78" s="135">
        <v>52</v>
      </c>
      <c r="B78" s="133" t="s">
        <v>243</v>
      </c>
      <c r="C78" s="221" t="s">
        <v>385</v>
      </c>
      <c r="D78" s="195" t="s">
        <v>310</v>
      </c>
      <c r="E78" s="156" t="s">
        <v>172</v>
      </c>
      <c r="F78" s="156" t="s">
        <v>185</v>
      </c>
      <c r="G78" s="122" t="s">
        <v>609</v>
      </c>
      <c r="H78" s="156" t="s">
        <v>630</v>
      </c>
      <c r="I78" s="175" t="s">
        <v>598</v>
      </c>
      <c r="J78" s="175" t="s">
        <v>598</v>
      </c>
      <c r="K78" s="240">
        <v>1</v>
      </c>
      <c r="L78" s="185" t="s">
        <v>566</v>
      </c>
      <c r="M78" s="204" t="s">
        <v>191</v>
      </c>
      <c r="N78" s="195" t="s">
        <v>193</v>
      </c>
      <c r="O78" s="214" t="s">
        <v>563</v>
      </c>
      <c r="P78" s="208">
        <v>42000</v>
      </c>
      <c r="Q78" s="221">
        <v>223000</v>
      </c>
      <c r="R78" s="229" t="s">
        <v>211</v>
      </c>
      <c r="S78" s="143"/>
      <c r="T78" s="230"/>
      <c r="U78" s="191"/>
      <c r="V78" s="134"/>
      <c r="W78" s="134"/>
      <c r="X78" s="134"/>
      <c r="Y78" s="343"/>
      <c r="Z78" s="343"/>
      <c r="AA78" s="192" t="s">
        <v>327</v>
      </c>
      <c r="AB78" s="223" t="s">
        <v>246</v>
      </c>
      <c r="AC78" s="219"/>
      <c r="AD78" s="252"/>
      <c r="AE78" s="191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256"/>
      <c r="AQ78" s="259">
        <f t="shared" si="8"/>
        <v>0</v>
      </c>
      <c r="AR78" s="288" t="str">
        <f t="shared" si="17"/>
        <v>OK</v>
      </c>
    </row>
    <row r="79" spans="1:45" s="136" customFormat="1" ht="63.75" hidden="1" x14ac:dyDescent="0.25">
      <c r="A79" s="135">
        <v>53</v>
      </c>
      <c r="B79" s="133" t="s">
        <v>243</v>
      </c>
      <c r="C79" s="221" t="s">
        <v>385</v>
      </c>
      <c r="D79" s="195" t="s">
        <v>311</v>
      </c>
      <c r="E79" s="156" t="s">
        <v>172</v>
      </c>
      <c r="F79" s="156" t="s">
        <v>185</v>
      </c>
      <c r="G79" s="122" t="s">
        <v>623</v>
      </c>
      <c r="H79" s="156" t="s">
        <v>630</v>
      </c>
      <c r="I79" s="175" t="s">
        <v>598</v>
      </c>
      <c r="J79" s="175" t="s">
        <v>598</v>
      </c>
      <c r="K79" s="240">
        <v>1</v>
      </c>
      <c r="L79" s="185" t="s">
        <v>566</v>
      </c>
      <c r="M79" s="204" t="s">
        <v>191</v>
      </c>
      <c r="N79" s="195" t="s">
        <v>193</v>
      </c>
      <c r="O79" s="214" t="s">
        <v>563</v>
      </c>
      <c r="P79" s="208">
        <v>42000</v>
      </c>
      <c r="Q79" s="221">
        <v>223000</v>
      </c>
      <c r="R79" s="229" t="s">
        <v>211</v>
      </c>
      <c r="S79" s="143"/>
      <c r="T79" s="230"/>
      <c r="U79" s="191"/>
      <c r="V79" s="134"/>
      <c r="W79" s="134"/>
      <c r="X79" s="134"/>
      <c r="Y79" s="343"/>
      <c r="Z79" s="343"/>
      <c r="AA79" s="192" t="s">
        <v>327</v>
      </c>
      <c r="AB79" s="223" t="s">
        <v>246</v>
      </c>
      <c r="AC79" s="219"/>
      <c r="AD79" s="252"/>
      <c r="AE79" s="191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256"/>
      <c r="AQ79" s="259">
        <f t="shared" si="8"/>
        <v>0</v>
      </c>
      <c r="AR79" s="288" t="str">
        <f t="shared" si="17"/>
        <v>OK</v>
      </c>
    </row>
    <row r="80" spans="1:45" s="136" customFormat="1" ht="63.75" hidden="1" x14ac:dyDescent="0.25">
      <c r="A80" s="135">
        <v>54</v>
      </c>
      <c r="B80" s="133" t="s">
        <v>243</v>
      </c>
      <c r="C80" s="221" t="s">
        <v>385</v>
      </c>
      <c r="D80" s="195" t="s">
        <v>312</v>
      </c>
      <c r="E80" s="156" t="s">
        <v>172</v>
      </c>
      <c r="F80" s="156" t="s">
        <v>185</v>
      </c>
      <c r="G80" s="122" t="s">
        <v>624</v>
      </c>
      <c r="H80" s="156" t="s">
        <v>630</v>
      </c>
      <c r="I80" s="175" t="s">
        <v>598</v>
      </c>
      <c r="J80" s="175" t="s">
        <v>598</v>
      </c>
      <c r="K80" s="240">
        <v>1</v>
      </c>
      <c r="L80" s="185" t="s">
        <v>566</v>
      </c>
      <c r="M80" s="204" t="s">
        <v>191</v>
      </c>
      <c r="N80" s="195" t="s">
        <v>193</v>
      </c>
      <c r="O80" s="214" t="s">
        <v>563</v>
      </c>
      <c r="P80" s="208">
        <v>42000</v>
      </c>
      <c r="Q80" s="221">
        <v>223000</v>
      </c>
      <c r="R80" s="229" t="s">
        <v>211</v>
      </c>
      <c r="S80" s="143"/>
      <c r="T80" s="230"/>
      <c r="U80" s="191"/>
      <c r="V80" s="134"/>
      <c r="W80" s="134"/>
      <c r="X80" s="134"/>
      <c r="Y80" s="343"/>
      <c r="Z80" s="343"/>
      <c r="AA80" s="192" t="s">
        <v>327</v>
      </c>
      <c r="AB80" s="223" t="s">
        <v>246</v>
      </c>
      <c r="AC80" s="219"/>
      <c r="AD80" s="252"/>
      <c r="AE80" s="191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256"/>
      <c r="AQ80" s="259">
        <f t="shared" si="8"/>
        <v>0</v>
      </c>
      <c r="AR80" s="288" t="str">
        <f t="shared" si="17"/>
        <v>OK</v>
      </c>
    </row>
    <row r="81" spans="1:44" s="136" customFormat="1" ht="63.75" hidden="1" x14ac:dyDescent="0.25">
      <c r="A81" s="135">
        <v>55</v>
      </c>
      <c r="B81" s="133" t="s">
        <v>243</v>
      </c>
      <c r="C81" s="221" t="s">
        <v>385</v>
      </c>
      <c r="D81" s="195" t="s">
        <v>313</v>
      </c>
      <c r="E81" s="156" t="s">
        <v>172</v>
      </c>
      <c r="F81" s="156" t="s">
        <v>185</v>
      </c>
      <c r="G81" s="122" t="s">
        <v>338</v>
      </c>
      <c r="H81" s="156" t="s">
        <v>630</v>
      </c>
      <c r="I81" s="175" t="s">
        <v>629</v>
      </c>
      <c r="J81" s="175" t="s">
        <v>598</v>
      </c>
      <c r="K81" s="240">
        <v>1</v>
      </c>
      <c r="L81" s="185" t="s">
        <v>566</v>
      </c>
      <c r="M81" s="204" t="s">
        <v>191</v>
      </c>
      <c r="N81" s="195" t="s">
        <v>193</v>
      </c>
      <c r="O81" s="214" t="s">
        <v>563</v>
      </c>
      <c r="P81" s="208">
        <v>42000</v>
      </c>
      <c r="Q81" s="221">
        <v>223000</v>
      </c>
      <c r="R81" s="229" t="s">
        <v>211</v>
      </c>
      <c r="S81" s="143"/>
      <c r="T81" s="230"/>
      <c r="U81" s="191"/>
      <c r="V81" s="134"/>
      <c r="W81" s="134"/>
      <c r="X81" s="134"/>
      <c r="Y81" s="343"/>
      <c r="Z81" s="343"/>
      <c r="AA81" s="192" t="s">
        <v>327</v>
      </c>
      <c r="AB81" s="223" t="s">
        <v>246</v>
      </c>
      <c r="AC81" s="219"/>
      <c r="AD81" s="252"/>
      <c r="AE81" s="191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256"/>
      <c r="AQ81" s="259">
        <f t="shared" si="8"/>
        <v>0</v>
      </c>
      <c r="AR81" s="288" t="str">
        <f t="shared" si="17"/>
        <v>OK</v>
      </c>
    </row>
    <row r="82" spans="1:44" s="136" customFormat="1" ht="63.75" hidden="1" x14ac:dyDescent="0.25">
      <c r="A82" s="135">
        <v>56</v>
      </c>
      <c r="B82" s="133" t="s">
        <v>243</v>
      </c>
      <c r="C82" s="221" t="s">
        <v>385</v>
      </c>
      <c r="D82" s="195" t="s">
        <v>314</v>
      </c>
      <c r="E82" s="156" t="s">
        <v>172</v>
      </c>
      <c r="F82" s="156" t="s">
        <v>185</v>
      </c>
      <c r="G82" s="122" t="s">
        <v>339</v>
      </c>
      <c r="H82" s="156" t="s">
        <v>630</v>
      </c>
      <c r="I82" s="175" t="s">
        <v>598</v>
      </c>
      <c r="J82" s="175" t="s">
        <v>598</v>
      </c>
      <c r="K82" s="240">
        <v>1</v>
      </c>
      <c r="L82" s="185" t="s">
        <v>566</v>
      </c>
      <c r="M82" s="204" t="s">
        <v>191</v>
      </c>
      <c r="N82" s="195" t="s">
        <v>193</v>
      </c>
      <c r="O82" s="214" t="s">
        <v>563</v>
      </c>
      <c r="P82" s="208">
        <v>42000</v>
      </c>
      <c r="Q82" s="221">
        <v>223000</v>
      </c>
      <c r="R82" s="229" t="s">
        <v>211</v>
      </c>
      <c r="S82" s="143"/>
      <c r="T82" s="230"/>
      <c r="U82" s="191"/>
      <c r="V82" s="134"/>
      <c r="W82" s="134"/>
      <c r="X82" s="134"/>
      <c r="Y82" s="343"/>
      <c r="Z82" s="343"/>
      <c r="AA82" s="192" t="s">
        <v>327</v>
      </c>
      <c r="AB82" s="223" t="s">
        <v>246</v>
      </c>
      <c r="AC82" s="219"/>
      <c r="AD82" s="252"/>
      <c r="AE82" s="191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256"/>
      <c r="AQ82" s="259">
        <f t="shared" si="8"/>
        <v>0</v>
      </c>
      <c r="AR82" s="288" t="str">
        <f t="shared" si="17"/>
        <v>OK</v>
      </c>
    </row>
    <row r="83" spans="1:44" s="136" customFormat="1" ht="63.75" x14ac:dyDescent="0.25">
      <c r="A83" s="135">
        <v>23</v>
      </c>
      <c r="B83" s="133" t="s">
        <v>243</v>
      </c>
      <c r="C83" s="221" t="s">
        <v>385</v>
      </c>
      <c r="D83" s="195" t="s">
        <v>315</v>
      </c>
      <c r="E83" s="156" t="s">
        <v>172</v>
      </c>
      <c r="F83" s="156" t="s">
        <v>185</v>
      </c>
      <c r="G83" s="122" t="s">
        <v>251</v>
      </c>
      <c r="H83" s="156" t="s">
        <v>630</v>
      </c>
      <c r="I83" s="175" t="s">
        <v>598</v>
      </c>
      <c r="J83" s="175" t="s">
        <v>598</v>
      </c>
      <c r="K83" s="240">
        <v>1</v>
      </c>
      <c r="L83" s="185" t="s">
        <v>566</v>
      </c>
      <c r="M83" s="204" t="s">
        <v>191</v>
      </c>
      <c r="N83" s="195" t="s">
        <v>193</v>
      </c>
      <c r="O83" s="214" t="s">
        <v>563</v>
      </c>
      <c r="P83" s="208">
        <v>42000</v>
      </c>
      <c r="Q83" s="221">
        <v>223000</v>
      </c>
      <c r="R83" s="229" t="s">
        <v>211</v>
      </c>
      <c r="S83" s="141">
        <v>42736</v>
      </c>
      <c r="T83" s="224">
        <v>43100</v>
      </c>
      <c r="U83" s="310">
        <v>3000</v>
      </c>
      <c r="V83" s="311">
        <v>2000</v>
      </c>
      <c r="W83" s="134"/>
      <c r="X83" s="134"/>
      <c r="Y83" s="343">
        <v>-1000</v>
      </c>
      <c r="Z83" s="342">
        <f>+U83+Y83</f>
        <v>2000</v>
      </c>
      <c r="AA83" s="192" t="s">
        <v>327</v>
      </c>
      <c r="AB83" s="223" t="s">
        <v>246</v>
      </c>
      <c r="AC83" s="295">
        <v>5701</v>
      </c>
      <c r="AD83" s="251" t="s">
        <v>536</v>
      </c>
      <c r="AE83" s="355">
        <v>0</v>
      </c>
      <c r="AF83" s="339">
        <v>0</v>
      </c>
      <c r="AG83" s="339">
        <v>250</v>
      </c>
      <c r="AH83" s="339">
        <v>250</v>
      </c>
      <c r="AI83" s="339">
        <v>250</v>
      </c>
      <c r="AJ83" s="339">
        <v>250</v>
      </c>
      <c r="AK83" s="339">
        <v>250</v>
      </c>
      <c r="AL83" s="339">
        <v>250</v>
      </c>
      <c r="AM83" s="339">
        <v>250</v>
      </c>
      <c r="AN83" s="339">
        <v>250</v>
      </c>
      <c r="AO83" s="339"/>
      <c r="AP83" s="357"/>
      <c r="AQ83" s="259">
        <f t="shared" ref="AQ83" si="19">SUM(AE83:AP83)</f>
        <v>2000</v>
      </c>
      <c r="AR83" s="288" t="str">
        <f t="shared" si="17"/>
        <v>OK</v>
      </c>
    </row>
    <row r="84" spans="1:44" s="136" customFormat="1" ht="63.75" hidden="1" x14ac:dyDescent="0.25">
      <c r="A84" s="135">
        <v>58</v>
      </c>
      <c r="B84" s="133" t="s">
        <v>243</v>
      </c>
      <c r="C84" s="221" t="s">
        <v>385</v>
      </c>
      <c r="D84" s="195" t="s">
        <v>316</v>
      </c>
      <c r="E84" s="156" t="s">
        <v>172</v>
      </c>
      <c r="F84" s="156" t="s">
        <v>185</v>
      </c>
      <c r="G84" s="122" t="s">
        <v>267</v>
      </c>
      <c r="H84" s="156" t="s">
        <v>630</v>
      </c>
      <c r="I84" s="175" t="s">
        <v>598</v>
      </c>
      <c r="J84" s="175" t="s">
        <v>598</v>
      </c>
      <c r="K84" s="240">
        <v>1</v>
      </c>
      <c r="L84" s="185" t="s">
        <v>566</v>
      </c>
      <c r="M84" s="204" t="s">
        <v>191</v>
      </c>
      <c r="N84" s="195" t="s">
        <v>193</v>
      </c>
      <c r="O84" s="214" t="s">
        <v>563</v>
      </c>
      <c r="P84" s="208">
        <v>42000</v>
      </c>
      <c r="Q84" s="221">
        <v>223000</v>
      </c>
      <c r="R84" s="229" t="s">
        <v>211</v>
      </c>
      <c r="S84" s="143"/>
      <c r="T84" s="230"/>
      <c r="U84" s="191"/>
      <c r="V84" s="134"/>
      <c r="W84" s="134"/>
      <c r="X84" s="134"/>
      <c r="Y84" s="343"/>
      <c r="Z84" s="343"/>
      <c r="AA84" s="192" t="s">
        <v>327</v>
      </c>
      <c r="AB84" s="223" t="s">
        <v>246</v>
      </c>
      <c r="AC84" s="219"/>
      <c r="AD84" s="252"/>
      <c r="AE84" s="191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256"/>
      <c r="AQ84" s="259">
        <f t="shared" si="8"/>
        <v>0</v>
      </c>
      <c r="AR84" s="288" t="str">
        <f t="shared" si="17"/>
        <v>OK</v>
      </c>
    </row>
    <row r="85" spans="1:44" s="136" customFormat="1" ht="63.75" x14ac:dyDescent="0.25">
      <c r="A85" s="135">
        <v>24</v>
      </c>
      <c r="B85" s="133" t="s">
        <v>243</v>
      </c>
      <c r="C85" s="221" t="s">
        <v>385</v>
      </c>
      <c r="D85" s="195" t="s">
        <v>317</v>
      </c>
      <c r="E85" s="156" t="s">
        <v>172</v>
      </c>
      <c r="F85" s="156" t="s">
        <v>185</v>
      </c>
      <c r="G85" s="122" t="s">
        <v>592</v>
      </c>
      <c r="H85" s="156" t="s">
        <v>630</v>
      </c>
      <c r="I85" s="175" t="s">
        <v>598</v>
      </c>
      <c r="J85" s="175" t="s">
        <v>598</v>
      </c>
      <c r="K85" s="240">
        <v>1</v>
      </c>
      <c r="L85" s="185" t="s">
        <v>566</v>
      </c>
      <c r="M85" s="204" t="s">
        <v>191</v>
      </c>
      <c r="N85" s="195" t="s">
        <v>193</v>
      </c>
      <c r="O85" s="214" t="s">
        <v>563</v>
      </c>
      <c r="P85" s="208">
        <v>42000</v>
      </c>
      <c r="Q85" s="221">
        <v>223000</v>
      </c>
      <c r="R85" s="229" t="s">
        <v>211</v>
      </c>
      <c r="S85" s="141">
        <v>42736</v>
      </c>
      <c r="T85" s="224">
        <v>42887</v>
      </c>
      <c r="U85" s="310">
        <v>13500</v>
      </c>
      <c r="V85" s="311">
        <v>13500</v>
      </c>
      <c r="W85" s="134"/>
      <c r="X85" s="134"/>
      <c r="Y85" s="343">
        <v>0</v>
      </c>
      <c r="Z85" s="342">
        <f>+U85+Y85</f>
        <v>13500</v>
      </c>
      <c r="AA85" s="192" t="s">
        <v>327</v>
      </c>
      <c r="AB85" s="223" t="s">
        <v>246</v>
      </c>
      <c r="AC85" s="295">
        <v>5702</v>
      </c>
      <c r="AD85" s="251" t="s">
        <v>537</v>
      </c>
      <c r="AE85" s="338">
        <f>13500/12</f>
        <v>1125</v>
      </c>
      <c r="AF85" s="339">
        <v>1125</v>
      </c>
      <c r="AG85" s="339">
        <v>1125</v>
      </c>
      <c r="AH85" s="339">
        <v>1125</v>
      </c>
      <c r="AI85" s="339">
        <v>1125</v>
      </c>
      <c r="AJ85" s="339">
        <v>1125</v>
      </c>
      <c r="AK85" s="339">
        <v>1125</v>
      </c>
      <c r="AL85" s="339">
        <v>1125</v>
      </c>
      <c r="AM85" s="339">
        <v>1125</v>
      </c>
      <c r="AN85" s="339">
        <v>1125</v>
      </c>
      <c r="AO85" s="339">
        <v>1125</v>
      </c>
      <c r="AP85" s="340">
        <v>1125</v>
      </c>
      <c r="AQ85" s="259">
        <f t="shared" ref="AQ85" si="20">SUM(AE85:AP85)</f>
        <v>13500</v>
      </c>
      <c r="AR85" s="288" t="str">
        <f t="shared" si="17"/>
        <v>OK</v>
      </c>
    </row>
    <row r="86" spans="1:44" s="136" customFormat="1" ht="63.75" hidden="1" x14ac:dyDescent="0.25">
      <c r="A86" s="135">
        <v>60</v>
      </c>
      <c r="B86" s="133" t="s">
        <v>243</v>
      </c>
      <c r="C86" s="221" t="s">
        <v>385</v>
      </c>
      <c r="D86" s="195" t="s">
        <v>318</v>
      </c>
      <c r="E86" s="156" t="s">
        <v>172</v>
      </c>
      <c r="F86" s="156" t="s">
        <v>185</v>
      </c>
      <c r="G86" s="122" t="s">
        <v>625</v>
      </c>
      <c r="H86" s="156" t="s">
        <v>630</v>
      </c>
      <c r="I86" s="175" t="s">
        <v>598</v>
      </c>
      <c r="J86" s="175" t="s">
        <v>598</v>
      </c>
      <c r="K86" s="240">
        <v>1</v>
      </c>
      <c r="L86" s="185" t="s">
        <v>566</v>
      </c>
      <c r="M86" s="204" t="s">
        <v>191</v>
      </c>
      <c r="N86" s="195" t="s">
        <v>193</v>
      </c>
      <c r="O86" s="214" t="s">
        <v>563</v>
      </c>
      <c r="P86" s="208">
        <v>42000</v>
      </c>
      <c r="Q86" s="221">
        <v>223000</v>
      </c>
      <c r="R86" s="229" t="s">
        <v>211</v>
      </c>
      <c r="S86" s="143"/>
      <c r="T86" s="230"/>
      <c r="U86" s="191"/>
      <c r="V86" s="134"/>
      <c r="W86" s="134"/>
      <c r="X86" s="134"/>
      <c r="Y86" s="343"/>
      <c r="Z86" s="343"/>
      <c r="AA86" s="192" t="s">
        <v>327</v>
      </c>
      <c r="AB86" s="223" t="s">
        <v>246</v>
      </c>
      <c r="AC86" s="219"/>
      <c r="AD86" s="252"/>
      <c r="AE86" s="191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256"/>
      <c r="AQ86" s="259">
        <f t="shared" si="8"/>
        <v>0</v>
      </c>
      <c r="AR86" s="288" t="str">
        <f t="shared" si="17"/>
        <v>OK</v>
      </c>
    </row>
    <row r="87" spans="1:44" s="136" customFormat="1" ht="63.75" hidden="1" x14ac:dyDescent="0.25">
      <c r="A87" s="135">
        <v>61</v>
      </c>
      <c r="B87" s="133" t="s">
        <v>243</v>
      </c>
      <c r="C87" s="221" t="s">
        <v>385</v>
      </c>
      <c r="D87" s="195" t="s">
        <v>319</v>
      </c>
      <c r="E87" s="156" t="s">
        <v>172</v>
      </c>
      <c r="F87" s="156" t="s">
        <v>185</v>
      </c>
      <c r="G87" s="122" t="s">
        <v>626</v>
      </c>
      <c r="H87" s="156" t="s">
        <v>630</v>
      </c>
      <c r="I87" s="175" t="s">
        <v>598</v>
      </c>
      <c r="J87" s="175" t="s">
        <v>598</v>
      </c>
      <c r="K87" s="240">
        <v>1</v>
      </c>
      <c r="L87" s="185" t="s">
        <v>566</v>
      </c>
      <c r="M87" s="204" t="s">
        <v>191</v>
      </c>
      <c r="N87" s="195" t="s">
        <v>193</v>
      </c>
      <c r="O87" s="214" t="s">
        <v>563</v>
      </c>
      <c r="P87" s="208">
        <v>42000</v>
      </c>
      <c r="Q87" s="221">
        <v>223000</v>
      </c>
      <c r="R87" s="229" t="s">
        <v>211</v>
      </c>
      <c r="S87" s="143"/>
      <c r="T87" s="230"/>
      <c r="U87" s="191"/>
      <c r="V87" s="134"/>
      <c r="W87" s="134"/>
      <c r="X87" s="134"/>
      <c r="Y87" s="343"/>
      <c r="Z87" s="343"/>
      <c r="AA87" s="192" t="s">
        <v>327</v>
      </c>
      <c r="AB87" s="223" t="s">
        <v>246</v>
      </c>
      <c r="AC87" s="219"/>
      <c r="AD87" s="252"/>
      <c r="AE87" s="191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256"/>
      <c r="AQ87" s="259">
        <f t="shared" si="8"/>
        <v>0</v>
      </c>
      <c r="AR87" s="288" t="str">
        <f t="shared" si="17"/>
        <v>OK</v>
      </c>
    </row>
    <row r="88" spans="1:44" s="136" customFormat="1" ht="63.75" hidden="1" x14ac:dyDescent="0.25">
      <c r="A88" s="135">
        <v>62</v>
      </c>
      <c r="B88" s="133" t="s">
        <v>243</v>
      </c>
      <c r="C88" s="221" t="s">
        <v>385</v>
      </c>
      <c r="D88" s="195" t="s">
        <v>320</v>
      </c>
      <c r="E88" s="156" t="s">
        <v>172</v>
      </c>
      <c r="F88" s="156" t="s">
        <v>185</v>
      </c>
      <c r="G88" s="122" t="s">
        <v>268</v>
      </c>
      <c r="H88" s="156" t="s">
        <v>630</v>
      </c>
      <c r="I88" s="175" t="s">
        <v>598</v>
      </c>
      <c r="J88" s="175" t="s">
        <v>598</v>
      </c>
      <c r="K88" s="240">
        <v>1</v>
      </c>
      <c r="L88" s="185" t="s">
        <v>566</v>
      </c>
      <c r="M88" s="204" t="s">
        <v>191</v>
      </c>
      <c r="N88" s="195" t="s">
        <v>193</v>
      </c>
      <c r="O88" s="214" t="s">
        <v>563</v>
      </c>
      <c r="P88" s="208">
        <v>42000</v>
      </c>
      <c r="Q88" s="221">
        <v>223000</v>
      </c>
      <c r="R88" s="229" t="s">
        <v>211</v>
      </c>
      <c r="S88" s="143"/>
      <c r="T88" s="230"/>
      <c r="U88" s="191"/>
      <c r="V88" s="134"/>
      <c r="W88" s="134"/>
      <c r="X88" s="134"/>
      <c r="Y88" s="343"/>
      <c r="Z88" s="343"/>
      <c r="AA88" s="192" t="s">
        <v>327</v>
      </c>
      <c r="AB88" s="223" t="s">
        <v>246</v>
      </c>
      <c r="AC88" s="219"/>
      <c r="AD88" s="252"/>
      <c r="AE88" s="191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256"/>
      <c r="AQ88" s="259">
        <f t="shared" si="8"/>
        <v>0</v>
      </c>
      <c r="AR88" s="288" t="str">
        <f t="shared" si="17"/>
        <v>OK</v>
      </c>
    </row>
    <row r="89" spans="1:44" s="136" customFormat="1" ht="63.75" hidden="1" x14ac:dyDescent="0.25">
      <c r="A89" s="135">
        <v>63</v>
      </c>
      <c r="B89" s="133" t="s">
        <v>243</v>
      </c>
      <c r="C89" s="221" t="s">
        <v>385</v>
      </c>
      <c r="D89" s="195" t="s">
        <v>321</v>
      </c>
      <c r="E89" s="156" t="s">
        <v>172</v>
      </c>
      <c r="F89" s="156" t="s">
        <v>185</v>
      </c>
      <c r="G89" s="122" t="s">
        <v>269</v>
      </c>
      <c r="H89" s="156" t="s">
        <v>630</v>
      </c>
      <c r="I89" s="175" t="s">
        <v>598</v>
      </c>
      <c r="J89" s="175" t="s">
        <v>598</v>
      </c>
      <c r="K89" s="240">
        <v>1</v>
      </c>
      <c r="L89" s="185" t="s">
        <v>566</v>
      </c>
      <c r="M89" s="204" t="s">
        <v>191</v>
      </c>
      <c r="N89" s="195" t="s">
        <v>193</v>
      </c>
      <c r="O89" s="214" t="s">
        <v>563</v>
      </c>
      <c r="P89" s="208">
        <v>42000</v>
      </c>
      <c r="Q89" s="221">
        <v>223000</v>
      </c>
      <c r="R89" s="229" t="s">
        <v>211</v>
      </c>
      <c r="S89" s="143"/>
      <c r="T89" s="230"/>
      <c r="U89" s="191"/>
      <c r="V89" s="134"/>
      <c r="W89" s="134"/>
      <c r="X89" s="134"/>
      <c r="Y89" s="343"/>
      <c r="Z89" s="343"/>
      <c r="AA89" s="192" t="s">
        <v>327</v>
      </c>
      <c r="AB89" s="223" t="s">
        <v>246</v>
      </c>
      <c r="AC89" s="219"/>
      <c r="AD89" s="252"/>
      <c r="AE89" s="191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256"/>
      <c r="AQ89" s="259">
        <f t="shared" si="8"/>
        <v>0</v>
      </c>
      <c r="AR89" s="288" t="str">
        <f t="shared" si="17"/>
        <v>OK</v>
      </c>
    </row>
    <row r="90" spans="1:44" s="136" customFormat="1" ht="63.75" hidden="1" x14ac:dyDescent="0.25">
      <c r="A90" s="135">
        <v>64</v>
      </c>
      <c r="B90" s="133" t="s">
        <v>243</v>
      </c>
      <c r="C90" s="221" t="s">
        <v>385</v>
      </c>
      <c r="D90" s="195" t="s">
        <v>322</v>
      </c>
      <c r="E90" s="156" t="s">
        <v>172</v>
      </c>
      <c r="F90" s="156" t="s">
        <v>185</v>
      </c>
      <c r="G90" s="122" t="s">
        <v>270</v>
      </c>
      <c r="H90" s="156" t="s">
        <v>630</v>
      </c>
      <c r="I90" s="175" t="s">
        <v>598</v>
      </c>
      <c r="J90" s="175" t="s">
        <v>598</v>
      </c>
      <c r="K90" s="240">
        <v>1</v>
      </c>
      <c r="L90" s="185" t="s">
        <v>566</v>
      </c>
      <c r="M90" s="204" t="s">
        <v>191</v>
      </c>
      <c r="N90" s="195" t="s">
        <v>193</v>
      </c>
      <c r="O90" s="214" t="s">
        <v>563</v>
      </c>
      <c r="P90" s="208">
        <v>42000</v>
      </c>
      <c r="Q90" s="221">
        <v>223000</v>
      </c>
      <c r="R90" s="229" t="s">
        <v>211</v>
      </c>
      <c r="S90" s="143"/>
      <c r="T90" s="230"/>
      <c r="U90" s="191"/>
      <c r="V90" s="134"/>
      <c r="W90" s="134"/>
      <c r="X90" s="134"/>
      <c r="Y90" s="343"/>
      <c r="Z90" s="343"/>
      <c r="AA90" s="192" t="s">
        <v>327</v>
      </c>
      <c r="AB90" s="223" t="s">
        <v>246</v>
      </c>
      <c r="AC90" s="219"/>
      <c r="AD90" s="252"/>
      <c r="AE90" s="191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256"/>
      <c r="AQ90" s="259">
        <f t="shared" si="8"/>
        <v>0</v>
      </c>
      <c r="AR90" s="288" t="str">
        <f t="shared" si="17"/>
        <v>OK</v>
      </c>
    </row>
    <row r="91" spans="1:44" s="136" customFormat="1" ht="63.75" x14ac:dyDescent="0.25">
      <c r="A91" s="135">
        <v>25</v>
      </c>
      <c r="B91" s="133" t="s">
        <v>243</v>
      </c>
      <c r="C91" s="221" t="s">
        <v>385</v>
      </c>
      <c r="D91" s="195" t="s">
        <v>323</v>
      </c>
      <c r="E91" s="156" t="s">
        <v>172</v>
      </c>
      <c r="F91" s="156" t="s">
        <v>185</v>
      </c>
      <c r="G91" s="122" t="s">
        <v>591</v>
      </c>
      <c r="H91" s="156" t="s">
        <v>630</v>
      </c>
      <c r="I91" s="175" t="s">
        <v>598</v>
      </c>
      <c r="J91" s="175" t="s">
        <v>598</v>
      </c>
      <c r="K91" s="240">
        <v>1</v>
      </c>
      <c r="L91" s="185" t="s">
        <v>566</v>
      </c>
      <c r="M91" s="204" t="s">
        <v>191</v>
      </c>
      <c r="N91" s="195" t="s">
        <v>193</v>
      </c>
      <c r="O91" s="214" t="s">
        <v>563</v>
      </c>
      <c r="P91" s="208">
        <v>42000</v>
      </c>
      <c r="Q91" s="221">
        <v>223000</v>
      </c>
      <c r="R91" s="229" t="s">
        <v>211</v>
      </c>
      <c r="S91" s="141">
        <v>42736</v>
      </c>
      <c r="T91" s="224">
        <v>43100</v>
      </c>
      <c r="U91" s="310">
        <v>1500</v>
      </c>
      <c r="V91" s="311">
        <f>+U91</f>
        <v>1500</v>
      </c>
      <c r="W91" s="134"/>
      <c r="X91" s="134"/>
      <c r="Y91" s="343">
        <v>-1150</v>
      </c>
      <c r="Z91" s="342">
        <f t="shared" ref="Z91:Z93" si="21">+U91+Y91</f>
        <v>350</v>
      </c>
      <c r="AA91" s="192" t="s">
        <v>327</v>
      </c>
      <c r="AB91" s="223" t="s">
        <v>246</v>
      </c>
      <c r="AC91" s="295">
        <v>5703</v>
      </c>
      <c r="AD91" s="251" t="s">
        <v>252</v>
      </c>
      <c r="AE91" s="338">
        <v>0</v>
      </c>
      <c r="AF91" s="339">
        <v>0</v>
      </c>
      <c r="AG91" s="339">
        <v>0</v>
      </c>
      <c r="AH91" s="339">
        <v>0</v>
      </c>
      <c r="AI91" s="339">
        <v>0</v>
      </c>
      <c r="AJ91" s="339">
        <v>0</v>
      </c>
      <c r="AK91" s="339">
        <v>0</v>
      </c>
      <c r="AL91" s="339">
        <v>0</v>
      </c>
      <c r="AM91" s="339">
        <v>0</v>
      </c>
      <c r="AN91" s="339">
        <v>0</v>
      </c>
      <c r="AO91" s="339">
        <v>350</v>
      </c>
      <c r="AP91" s="340">
        <v>0</v>
      </c>
      <c r="AQ91" s="259">
        <f t="shared" ref="AQ91:AQ93" si="22">SUM(AE91:AP91)</f>
        <v>350</v>
      </c>
      <c r="AR91" s="288" t="str">
        <f t="shared" si="17"/>
        <v>ERROR</v>
      </c>
    </row>
    <row r="92" spans="1:44" s="136" customFormat="1" ht="63.75" x14ac:dyDescent="0.25">
      <c r="A92" s="135">
        <v>26</v>
      </c>
      <c r="B92" s="133" t="s">
        <v>243</v>
      </c>
      <c r="C92" s="221" t="s">
        <v>385</v>
      </c>
      <c r="D92" s="195" t="s">
        <v>324</v>
      </c>
      <c r="E92" s="156" t="s">
        <v>172</v>
      </c>
      <c r="F92" s="156" t="s">
        <v>185</v>
      </c>
      <c r="G92" s="122" t="s">
        <v>588</v>
      </c>
      <c r="H92" s="156" t="s">
        <v>630</v>
      </c>
      <c r="I92" s="175" t="s">
        <v>598</v>
      </c>
      <c r="J92" s="175" t="s">
        <v>598</v>
      </c>
      <c r="K92" s="240">
        <v>1</v>
      </c>
      <c r="L92" s="185" t="s">
        <v>566</v>
      </c>
      <c r="M92" s="204" t="s">
        <v>191</v>
      </c>
      <c r="N92" s="195" t="s">
        <v>193</v>
      </c>
      <c r="O92" s="214" t="s">
        <v>563</v>
      </c>
      <c r="P92" s="208">
        <v>42000</v>
      </c>
      <c r="Q92" s="221">
        <v>223000</v>
      </c>
      <c r="R92" s="229" t="s">
        <v>211</v>
      </c>
      <c r="S92" s="141">
        <v>42736</v>
      </c>
      <c r="T92" s="224">
        <v>43100</v>
      </c>
      <c r="U92" s="310">
        <v>6500</v>
      </c>
      <c r="V92" s="311">
        <f>+U92</f>
        <v>6500</v>
      </c>
      <c r="W92" s="134"/>
      <c r="X92" s="134"/>
      <c r="Y92" s="343">
        <v>5000</v>
      </c>
      <c r="Z92" s="342">
        <f t="shared" si="21"/>
        <v>11500</v>
      </c>
      <c r="AA92" s="192" t="s">
        <v>327</v>
      </c>
      <c r="AB92" s="223" t="s">
        <v>246</v>
      </c>
      <c r="AC92" s="296">
        <v>5801</v>
      </c>
      <c r="AD92" s="252" t="s">
        <v>589</v>
      </c>
      <c r="AE92" s="338">
        <v>0</v>
      </c>
      <c r="AF92" s="339">
        <v>0</v>
      </c>
      <c r="AG92" s="339">
        <v>0</v>
      </c>
      <c r="AH92" s="339">
        <v>0</v>
      </c>
      <c r="AI92" s="339">
        <v>2875</v>
      </c>
      <c r="AJ92" s="339">
        <v>0</v>
      </c>
      <c r="AK92" s="339">
        <v>2875</v>
      </c>
      <c r="AL92" s="339">
        <v>0</v>
      </c>
      <c r="AM92" s="339">
        <v>2875</v>
      </c>
      <c r="AN92" s="339">
        <v>0</v>
      </c>
      <c r="AO92" s="339">
        <v>2875</v>
      </c>
      <c r="AP92" s="340">
        <v>0</v>
      </c>
      <c r="AQ92" s="259">
        <f t="shared" si="22"/>
        <v>11500</v>
      </c>
      <c r="AR92" s="288" t="str">
        <f t="shared" si="17"/>
        <v>ERROR</v>
      </c>
    </row>
    <row r="93" spans="1:44" s="136" customFormat="1" ht="63.75" x14ac:dyDescent="0.25">
      <c r="A93" s="135">
        <v>27</v>
      </c>
      <c r="B93" s="133" t="s">
        <v>243</v>
      </c>
      <c r="C93" s="221" t="s">
        <v>385</v>
      </c>
      <c r="D93" s="195" t="s">
        <v>325</v>
      </c>
      <c r="E93" s="156" t="s">
        <v>172</v>
      </c>
      <c r="F93" s="156" t="s">
        <v>185</v>
      </c>
      <c r="G93" s="122" t="s">
        <v>590</v>
      </c>
      <c r="H93" s="156" t="s">
        <v>630</v>
      </c>
      <c r="I93" s="175" t="s">
        <v>598</v>
      </c>
      <c r="J93" s="175" t="s">
        <v>598</v>
      </c>
      <c r="K93" s="240">
        <v>1</v>
      </c>
      <c r="L93" s="185" t="s">
        <v>566</v>
      </c>
      <c r="M93" s="204" t="s">
        <v>191</v>
      </c>
      <c r="N93" s="195" t="s">
        <v>193</v>
      </c>
      <c r="O93" s="214" t="s">
        <v>563</v>
      </c>
      <c r="P93" s="208">
        <v>42000</v>
      </c>
      <c r="Q93" s="221">
        <v>223000</v>
      </c>
      <c r="R93" s="229" t="s">
        <v>211</v>
      </c>
      <c r="S93" s="141">
        <v>42736</v>
      </c>
      <c r="T93" s="224">
        <v>43100</v>
      </c>
      <c r="U93" s="310">
        <v>200</v>
      </c>
      <c r="V93" s="311">
        <v>200</v>
      </c>
      <c r="W93" s="134"/>
      <c r="X93" s="134"/>
      <c r="Y93" s="343">
        <v>0</v>
      </c>
      <c r="Z93" s="342">
        <f t="shared" si="21"/>
        <v>200</v>
      </c>
      <c r="AA93" s="192" t="s">
        <v>327</v>
      </c>
      <c r="AB93" s="223" t="s">
        <v>246</v>
      </c>
      <c r="AC93" s="295">
        <v>5316</v>
      </c>
      <c r="AD93" s="251" t="s">
        <v>271</v>
      </c>
      <c r="AE93" s="338">
        <v>0</v>
      </c>
      <c r="AF93" s="339">
        <v>0</v>
      </c>
      <c r="AG93" s="339">
        <v>0</v>
      </c>
      <c r="AH93" s="339">
        <v>0</v>
      </c>
      <c r="AI93" s="339">
        <v>0</v>
      </c>
      <c r="AJ93" s="339">
        <v>0</v>
      </c>
      <c r="AK93" s="339">
        <v>0</v>
      </c>
      <c r="AL93" s="339">
        <v>0</v>
      </c>
      <c r="AM93" s="339">
        <v>0</v>
      </c>
      <c r="AN93" s="339">
        <v>0</v>
      </c>
      <c r="AO93" s="339">
        <v>200</v>
      </c>
      <c r="AP93" s="340">
        <v>0</v>
      </c>
      <c r="AQ93" s="259">
        <f t="shared" si="22"/>
        <v>200</v>
      </c>
      <c r="AR93" s="288" t="str">
        <f t="shared" si="17"/>
        <v>OK</v>
      </c>
    </row>
    <row r="94" spans="1:44" s="165" customFormat="1" hidden="1" x14ac:dyDescent="0.25">
      <c r="A94" s="162">
        <v>68</v>
      </c>
      <c r="B94" s="159"/>
      <c r="C94" s="222"/>
      <c r="D94" s="215"/>
      <c r="E94" s="159"/>
      <c r="F94" s="159"/>
      <c r="G94" s="160" t="s">
        <v>627</v>
      </c>
      <c r="H94" s="159"/>
      <c r="I94" s="159"/>
      <c r="J94" s="161"/>
      <c r="K94" s="241"/>
      <c r="L94" s="186"/>
      <c r="M94" s="205"/>
      <c r="N94" s="215"/>
      <c r="O94" s="216"/>
      <c r="P94" s="209"/>
      <c r="Q94" s="222"/>
      <c r="R94" s="231"/>
      <c r="S94" s="163"/>
      <c r="T94" s="232"/>
      <c r="U94" s="193"/>
      <c r="V94" s="164"/>
      <c r="W94" s="164"/>
      <c r="X94" s="164"/>
      <c r="Y94" s="344"/>
      <c r="Z94" s="344"/>
      <c r="AA94" s="194"/>
      <c r="AB94" s="247"/>
      <c r="AC94" s="297"/>
      <c r="AD94" s="253"/>
      <c r="AE94" s="193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257"/>
      <c r="AQ94" s="259"/>
      <c r="AR94" s="289"/>
    </row>
    <row r="95" spans="1:44" s="136" customFormat="1" ht="63.75" x14ac:dyDescent="0.25">
      <c r="A95" s="135">
        <v>28</v>
      </c>
      <c r="B95" s="133" t="s">
        <v>243</v>
      </c>
      <c r="C95" s="221" t="s">
        <v>385</v>
      </c>
      <c r="D95" s="195" t="s">
        <v>326</v>
      </c>
      <c r="E95" s="156" t="s">
        <v>172</v>
      </c>
      <c r="F95" s="156" t="s">
        <v>185</v>
      </c>
      <c r="G95" s="122" t="s">
        <v>253</v>
      </c>
      <c r="H95" s="156" t="s">
        <v>630</v>
      </c>
      <c r="I95" s="175" t="s">
        <v>598</v>
      </c>
      <c r="J95" s="175" t="s">
        <v>598</v>
      </c>
      <c r="K95" s="240">
        <v>1</v>
      </c>
      <c r="L95" s="185" t="s">
        <v>566</v>
      </c>
      <c r="M95" s="204" t="s">
        <v>191</v>
      </c>
      <c r="N95" s="195" t="s">
        <v>193</v>
      </c>
      <c r="O95" s="214" t="s">
        <v>563</v>
      </c>
      <c r="P95" s="208">
        <v>42000</v>
      </c>
      <c r="Q95" s="221">
        <v>223000</v>
      </c>
      <c r="R95" s="229" t="s">
        <v>211</v>
      </c>
      <c r="S95" s="141">
        <v>42736</v>
      </c>
      <c r="T95" s="224">
        <v>43100</v>
      </c>
      <c r="U95" s="310">
        <v>871830.16</v>
      </c>
      <c r="V95" s="311">
        <v>871830.16</v>
      </c>
      <c r="W95" s="134"/>
      <c r="X95" s="134"/>
      <c r="Y95" s="343"/>
      <c r="Z95" s="342">
        <f>+U95+Y95</f>
        <v>871830.16</v>
      </c>
      <c r="AA95" s="192" t="s">
        <v>327</v>
      </c>
      <c r="AB95" s="223" t="s">
        <v>246</v>
      </c>
      <c r="AC95" s="295">
        <v>5101</v>
      </c>
      <c r="AD95" s="254" t="s">
        <v>538</v>
      </c>
      <c r="AE95" s="339">
        <v>60465.8</v>
      </c>
      <c r="AF95" s="339">
        <f>53965.8+6500</f>
        <v>60465.8</v>
      </c>
      <c r="AG95" s="339">
        <f>60465.8+18500+2000</f>
        <v>80965.8</v>
      </c>
      <c r="AH95" s="339">
        <f>53965.8+6500</f>
        <v>60465.8</v>
      </c>
      <c r="AI95" s="339">
        <f>53965.8+6500</f>
        <v>60465.8</v>
      </c>
      <c r="AJ95" s="339">
        <f>53965.8+6500</f>
        <v>60465.8</v>
      </c>
      <c r="AK95" s="339">
        <f>70980+2000</f>
        <v>72980</v>
      </c>
      <c r="AL95" s="339">
        <v>70980</v>
      </c>
      <c r="AM95" s="339">
        <v>70980</v>
      </c>
      <c r="AN95" s="339">
        <v>70980</v>
      </c>
      <c r="AO95" s="339">
        <v>70980</v>
      </c>
      <c r="AP95" s="339">
        <v>131635.35999999999</v>
      </c>
      <c r="AQ95" s="259">
        <f t="shared" ref="AQ95" si="23">SUM(AE95:AP95)</f>
        <v>871830.16</v>
      </c>
      <c r="AR95" s="288" t="str">
        <f>IF(AQ95=SUM(V95:X95),"OK","ERROR")</f>
        <v>OK</v>
      </c>
    </row>
    <row r="96" spans="1:44" s="136" customFormat="1" ht="63.75" hidden="1" x14ac:dyDescent="0.25">
      <c r="A96" s="135">
        <v>70</v>
      </c>
      <c r="B96" s="133" t="s">
        <v>243</v>
      </c>
      <c r="C96" s="221" t="s">
        <v>385</v>
      </c>
      <c r="D96" s="195" t="s">
        <v>167</v>
      </c>
      <c r="E96" s="156" t="s">
        <v>172</v>
      </c>
      <c r="F96" s="156" t="s">
        <v>185</v>
      </c>
      <c r="G96" s="122" t="s">
        <v>124</v>
      </c>
      <c r="H96" s="156" t="s">
        <v>630</v>
      </c>
      <c r="I96" s="175" t="s">
        <v>598</v>
      </c>
      <c r="J96" s="175" t="s">
        <v>598</v>
      </c>
      <c r="K96" s="240">
        <v>1</v>
      </c>
      <c r="L96" s="185" t="s">
        <v>566</v>
      </c>
      <c r="M96" s="203" t="s">
        <v>566</v>
      </c>
      <c r="N96" s="195" t="s">
        <v>193</v>
      </c>
      <c r="O96" s="214" t="s">
        <v>563</v>
      </c>
      <c r="P96" s="208">
        <v>42000</v>
      </c>
      <c r="Q96" s="221">
        <v>223000</v>
      </c>
      <c r="R96" s="229"/>
      <c r="S96" s="141"/>
      <c r="T96" s="224"/>
      <c r="U96" s="191"/>
      <c r="V96" s="134"/>
      <c r="W96" s="134"/>
      <c r="X96" s="134"/>
      <c r="Y96" s="343"/>
      <c r="Z96" s="343"/>
      <c r="AA96" s="192"/>
      <c r="AB96" s="223"/>
      <c r="AC96" s="219"/>
      <c r="AD96" s="252"/>
      <c r="AE96" s="191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256"/>
      <c r="AQ96" s="259">
        <f t="shared" si="8"/>
        <v>0</v>
      </c>
      <c r="AR96" s="288"/>
    </row>
    <row r="97" spans="1:44" s="350" customFormat="1" ht="63.75" x14ac:dyDescent="0.25">
      <c r="A97" s="347">
        <v>71</v>
      </c>
      <c r="B97" s="133" t="s">
        <v>243</v>
      </c>
      <c r="C97" s="221" t="s">
        <v>385</v>
      </c>
      <c r="D97" s="195" t="s">
        <v>343</v>
      </c>
      <c r="E97" s="156" t="s">
        <v>172</v>
      </c>
      <c r="F97" s="156" t="s">
        <v>185</v>
      </c>
      <c r="G97" s="122" t="s">
        <v>638</v>
      </c>
      <c r="H97" s="156" t="s">
        <v>630</v>
      </c>
      <c r="I97" s="175" t="s">
        <v>598</v>
      </c>
      <c r="J97" s="175" t="s">
        <v>598</v>
      </c>
      <c r="K97" s="240">
        <v>1</v>
      </c>
      <c r="L97" s="185" t="s">
        <v>566</v>
      </c>
      <c r="M97" s="203" t="s">
        <v>566</v>
      </c>
      <c r="N97" s="195" t="s">
        <v>193</v>
      </c>
      <c r="O97" s="214" t="s">
        <v>563</v>
      </c>
      <c r="P97" s="208">
        <v>42000</v>
      </c>
      <c r="Q97" s="221">
        <v>223000</v>
      </c>
      <c r="R97" s="229" t="s">
        <v>211</v>
      </c>
      <c r="S97" s="143">
        <v>42795</v>
      </c>
      <c r="T97" s="224">
        <v>43100</v>
      </c>
      <c r="U97" s="351">
        <v>5000</v>
      </c>
      <c r="V97" s="311">
        <v>0</v>
      </c>
      <c r="W97" s="134"/>
      <c r="X97" s="134"/>
      <c r="Y97" s="343">
        <v>2819.71</v>
      </c>
      <c r="Z97" s="342">
        <f t="shared" ref="Z97:Z101" si="24">+U97+Y97</f>
        <v>7819.71</v>
      </c>
      <c r="AA97" s="192" t="s">
        <v>327</v>
      </c>
      <c r="AB97" s="223" t="s">
        <v>246</v>
      </c>
      <c r="AC97" s="292">
        <v>8401</v>
      </c>
      <c r="AD97" s="352" t="s">
        <v>328</v>
      </c>
      <c r="AE97" s="191"/>
      <c r="AF97" s="134"/>
      <c r="AG97" s="134">
        <v>800</v>
      </c>
      <c r="AH97" s="134">
        <v>800</v>
      </c>
      <c r="AI97" s="134">
        <v>555.44000000000005</v>
      </c>
      <c r="AJ97" s="134"/>
      <c r="AK97" s="134">
        <v>2000</v>
      </c>
      <c r="AL97" s="134"/>
      <c r="AM97" s="134">
        <v>2000</v>
      </c>
      <c r="AN97" s="134"/>
      <c r="AO97" s="134">
        <f>7819.71-6155.44</f>
        <v>1664.2700000000004</v>
      </c>
      <c r="AP97" s="348"/>
      <c r="AQ97" s="259">
        <f t="shared" si="8"/>
        <v>7819.7100000000009</v>
      </c>
      <c r="AR97" s="349" t="str">
        <f t="shared" ref="AR97:AR103" si="25">IF(AQ97=SUM(V97:X97),"OK","ERROR")</f>
        <v>ERROR</v>
      </c>
    </row>
    <row r="98" spans="1:44" s="136" customFormat="1" ht="63.75" x14ac:dyDescent="0.25">
      <c r="A98" s="135">
        <v>29</v>
      </c>
      <c r="B98" s="133" t="s">
        <v>243</v>
      </c>
      <c r="C98" s="221" t="s">
        <v>385</v>
      </c>
      <c r="D98" s="195" t="s">
        <v>344</v>
      </c>
      <c r="E98" s="156" t="s">
        <v>172</v>
      </c>
      <c r="F98" s="156" t="s">
        <v>185</v>
      </c>
      <c r="G98" s="123" t="s">
        <v>628</v>
      </c>
      <c r="H98" s="156" t="s">
        <v>630</v>
      </c>
      <c r="I98" s="175" t="s">
        <v>598</v>
      </c>
      <c r="J98" s="175" t="s">
        <v>598</v>
      </c>
      <c r="K98" s="240">
        <v>1</v>
      </c>
      <c r="L98" s="185" t="s">
        <v>566</v>
      </c>
      <c r="M98" s="203" t="s">
        <v>566</v>
      </c>
      <c r="N98" s="195" t="s">
        <v>193</v>
      </c>
      <c r="O98" s="214" t="s">
        <v>563</v>
      </c>
      <c r="P98" s="208">
        <v>42000</v>
      </c>
      <c r="Q98" s="221">
        <v>223000</v>
      </c>
      <c r="R98" s="229" t="s">
        <v>211</v>
      </c>
      <c r="S98" s="141">
        <v>42736</v>
      </c>
      <c r="T98" s="224">
        <v>43100</v>
      </c>
      <c r="U98" s="310">
        <v>6000</v>
      </c>
      <c r="V98" s="311">
        <f>+U98</f>
        <v>6000</v>
      </c>
      <c r="W98" s="134"/>
      <c r="X98" s="134"/>
      <c r="Y98" s="343">
        <v>0</v>
      </c>
      <c r="Z98" s="342">
        <f t="shared" si="24"/>
        <v>6000</v>
      </c>
      <c r="AA98" s="192" t="s">
        <v>327</v>
      </c>
      <c r="AB98" s="223" t="s">
        <v>246</v>
      </c>
      <c r="AC98" s="219"/>
      <c r="AD98" s="252"/>
      <c r="AE98" s="338">
        <v>0</v>
      </c>
      <c r="AF98" s="339">
        <v>0</v>
      </c>
      <c r="AG98" s="339">
        <v>0</v>
      </c>
      <c r="AH98" s="339">
        <v>0</v>
      </c>
      <c r="AI98" s="339">
        <v>0</v>
      </c>
      <c r="AJ98" s="339">
        <v>3000</v>
      </c>
      <c r="AK98" s="339">
        <v>0</v>
      </c>
      <c r="AL98" s="339">
        <v>2000</v>
      </c>
      <c r="AM98" s="339">
        <v>0</v>
      </c>
      <c r="AN98" s="339">
        <v>0</v>
      </c>
      <c r="AO98" s="339">
        <v>1000</v>
      </c>
      <c r="AP98" s="340">
        <v>0</v>
      </c>
      <c r="AQ98" s="259">
        <f t="shared" ref="AQ98:AQ101" si="26">SUM(AE98:AP98)</f>
        <v>6000</v>
      </c>
      <c r="AR98" s="288" t="str">
        <f t="shared" si="25"/>
        <v>OK</v>
      </c>
    </row>
    <row r="99" spans="1:44" s="136" customFormat="1" ht="63.75" x14ac:dyDescent="0.25">
      <c r="A99" s="135">
        <v>32</v>
      </c>
      <c r="B99" s="133" t="s">
        <v>243</v>
      </c>
      <c r="C99" s="221" t="s">
        <v>385</v>
      </c>
      <c r="D99" s="195" t="s">
        <v>345</v>
      </c>
      <c r="E99" s="156" t="s">
        <v>172</v>
      </c>
      <c r="F99" s="156" t="s">
        <v>185</v>
      </c>
      <c r="G99" s="123" t="s">
        <v>338</v>
      </c>
      <c r="H99" s="156" t="s">
        <v>630</v>
      </c>
      <c r="I99" s="175" t="s">
        <v>629</v>
      </c>
      <c r="J99" s="175" t="s">
        <v>598</v>
      </c>
      <c r="K99" s="240">
        <v>1</v>
      </c>
      <c r="L99" s="185" t="s">
        <v>566</v>
      </c>
      <c r="M99" s="203" t="s">
        <v>566</v>
      </c>
      <c r="N99" s="195" t="s">
        <v>193</v>
      </c>
      <c r="O99" s="214" t="s">
        <v>563</v>
      </c>
      <c r="P99" s="208">
        <v>42000</v>
      </c>
      <c r="Q99" s="221">
        <v>223000</v>
      </c>
      <c r="R99" s="229" t="s">
        <v>211</v>
      </c>
      <c r="S99" s="141">
        <v>42736</v>
      </c>
      <c r="T99" s="224">
        <v>43100</v>
      </c>
      <c r="U99" s="310">
        <v>8000</v>
      </c>
      <c r="V99" s="311">
        <f>+U99</f>
        <v>8000</v>
      </c>
      <c r="W99" s="134"/>
      <c r="X99" s="134"/>
      <c r="Y99" s="343">
        <v>79394.37</v>
      </c>
      <c r="Z99" s="342">
        <f t="shared" si="24"/>
        <v>87394.37</v>
      </c>
      <c r="AA99" s="192" t="s">
        <v>327</v>
      </c>
      <c r="AB99" s="223" t="s">
        <v>246</v>
      </c>
      <c r="AC99" s="219"/>
      <c r="AD99" s="252"/>
      <c r="AE99" s="338">
        <v>0</v>
      </c>
      <c r="AF99" s="339">
        <v>5378.79</v>
      </c>
      <c r="AG99" s="339">
        <v>2500</v>
      </c>
      <c r="AH99" s="339">
        <v>0</v>
      </c>
      <c r="AI99" s="339">
        <v>0</v>
      </c>
      <c r="AJ99" s="339">
        <v>0</v>
      </c>
      <c r="AK99" s="339">
        <f>79500*70%</f>
        <v>55650</v>
      </c>
      <c r="AL99" s="339">
        <v>0</v>
      </c>
      <c r="AM99" s="339">
        <f>23865.7-0.12</f>
        <v>23865.58</v>
      </c>
      <c r="AN99" s="339">
        <v>0</v>
      </c>
      <c r="AO99" s="339">
        <v>0</v>
      </c>
      <c r="AP99" s="340">
        <v>0</v>
      </c>
      <c r="AQ99" s="259">
        <f t="shared" si="26"/>
        <v>87394.37</v>
      </c>
      <c r="AR99" s="288" t="str">
        <f t="shared" si="25"/>
        <v>ERROR</v>
      </c>
    </row>
    <row r="100" spans="1:44" s="136" customFormat="1" ht="63.75" x14ac:dyDescent="0.25">
      <c r="A100" s="135">
        <v>33</v>
      </c>
      <c r="B100" s="133" t="s">
        <v>243</v>
      </c>
      <c r="C100" s="221" t="s">
        <v>385</v>
      </c>
      <c r="D100" s="195" t="s">
        <v>346</v>
      </c>
      <c r="E100" s="156" t="s">
        <v>172</v>
      </c>
      <c r="F100" s="156" t="s">
        <v>185</v>
      </c>
      <c r="G100" s="123" t="s">
        <v>339</v>
      </c>
      <c r="H100" s="156" t="s">
        <v>630</v>
      </c>
      <c r="I100" s="175" t="s">
        <v>598</v>
      </c>
      <c r="J100" s="175" t="s">
        <v>598</v>
      </c>
      <c r="K100" s="240">
        <v>1</v>
      </c>
      <c r="L100" s="185" t="s">
        <v>566</v>
      </c>
      <c r="M100" s="203" t="s">
        <v>566</v>
      </c>
      <c r="N100" s="195" t="s">
        <v>193</v>
      </c>
      <c r="O100" s="214" t="s">
        <v>563</v>
      </c>
      <c r="P100" s="208">
        <v>42000</v>
      </c>
      <c r="Q100" s="221">
        <v>223000</v>
      </c>
      <c r="R100" s="229" t="s">
        <v>211</v>
      </c>
      <c r="S100" s="141">
        <v>42736</v>
      </c>
      <c r="T100" s="224">
        <v>43100</v>
      </c>
      <c r="U100" s="312">
        <v>1500</v>
      </c>
      <c r="V100" s="311">
        <f>+U100</f>
        <v>1500</v>
      </c>
      <c r="W100" s="134"/>
      <c r="X100" s="134"/>
      <c r="Y100" s="343">
        <v>0</v>
      </c>
      <c r="Z100" s="342">
        <f t="shared" si="24"/>
        <v>1500</v>
      </c>
      <c r="AA100" s="192" t="s">
        <v>327</v>
      </c>
      <c r="AB100" s="223" t="s">
        <v>246</v>
      </c>
      <c r="AC100" s="219"/>
      <c r="AD100" s="252"/>
      <c r="AE100" s="338">
        <v>0</v>
      </c>
      <c r="AF100" s="339">
        <v>0</v>
      </c>
      <c r="AG100" s="339">
        <v>0</v>
      </c>
      <c r="AH100" s="339">
        <v>0</v>
      </c>
      <c r="AI100" s="339">
        <v>0</v>
      </c>
      <c r="AJ100" s="339">
        <v>0</v>
      </c>
      <c r="AK100" s="339">
        <v>1500</v>
      </c>
      <c r="AL100" s="339">
        <v>0</v>
      </c>
      <c r="AM100" s="339">
        <v>0</v>
      </c>
      <c r="AN100" s="339">
        <v>0</v>
      </c>
      <c r="AO100" s="339">
        <v>0</v>
      </c>
      <c r="AP100" s="340">
        <v>0</v>
      </c>
      <c r="AQ100" s="259">
        <f t="shared" si="26"/>
        <v>1500</v>
      </c>
      <c r="AR100" s="288" t="str">
        <f t="shared" si="25"/>
        <v>OK</v>
      </c>
    </row>
    <row r="101" spans="1:44" s="136" customFormat="1" ht="63.75" x14ac:dyDescent="0.25">
      <c r="A101" s="135">
        <v>34</v>
      </c>
      <c r="B101" s="133" t="s">
        <v>243</v>
      </c>
      <c r="C101" s="221" t="s">
        <v>385</v>
      </c>
      <c r="D101" s="195" t="s">
        <v>347</v>
      </c>
      <c r="E101" s="156" t="s">
        <v>172</v>
      </c>
      <c r="F101" s="156" t="s">
        <v>185</v>
      </c>
      <c r="G101" s="124" t="s">
        <v>333</v>
      </c>
      <c r="H101" s="156" t="s">
        <v>630</v>
      </c>
      <c r="I101" s="175" t="s">
        <v>598</v>
      </c>
      <c r="J101" s="175" t="s">
        <v>598</v>
      </c>
      <c r="K101" s="240">
        <v>1</v>
      </c>
      <c r="L101" s="185" t="s">
        <v>566</v>
      </c>
      <c r="M101" s="203" t="s">
        <v>566</v>
      </c>
      <c r="N101" s="195" t="s">
        <v>193</v>
      </c>
      <c r="O101" s="214" t="s">
        <v>563</v>
      </c>
      <c r="P101" s="208">
        <v>42000</v>
      </c>
      <c r="Q101" s="221">
        <v>223000</v>
      </c>
      <c r="R101" s="229" t="s">
        <v>211</v>
      </c>
      <c r="S101" s="141">
        <v>42736</v>
      </c>
      <c r="T101" s="224">
        <v>43100</v>
      </c>
      <c r="U101" s="312">
        <v>221032.72</v>
      </c>
      <c r="V101" s="311">
        <v>221032.72</v>
      </c>
      <c r="W101" s="134"/>
      <c r="X101" s="134"/>
      <c r="Y101" s="343">
        <v>0</v>
      </c>
      <c r="Z101" s="342">
        <f t="shared" si="24"/>
        <v>221032.72</v>
      </c>
      <c r="AA101" s="192" t="s">
        <v>327</v>
      </c>
      <c r="AB101" s="223" t="s">
        <v>246</v>
      </c>
      <c r="AC101" s="295">
        <v>8402</v>
      </c>
      <c r="AD101" s="254" t="s">
        <v>333</v>
      </c>
      <c r="AE101" s="338">
        <v>0</v>
      </c>
      <c r="AF101" s="339">
        <v>0</v>
      </c>
      <c r="AG101" s="339">
        <v>0</v>
      </c>
      <c r="AH101" s="339">
        <v>0</v>
      </c>
      <c r="AI101" s="339">
        <v>0</v>
      </c>
      <c r="AJ101" s="339">
        <v>0</v>
      </c>
      <c r="AK101" s="339">
        <v>0</v>
      </c>
      <c r="AL101" s="339">
        <v>0</v>
      </c>
      <c r="AM101" s="339">
        <v>0</v>
      </c>
      <c r="AN101" s="339">
        <v>0</v>
      </c>
      <c r="AO101" s="339">
        <v>0</v>
      </c>
      <c r="AP101" s="339">
        <v>221032.72</v>
      </c>
      <c r="AQ101" s="259">
        <f t="shared" si="26"/>
        <v>221032.72</v>
      </c>
      <c r="AR101" s="288" t="str">
        <f t="shared" si="25"/>
        <v>OK</v>
      </c>
    </row>
    <row r="102" spans="1:44" s="136" customFormat="1" ht="63.75" hidden="1" x14ac:dyDescent="0.25">
      <c r="A102" s="135">
        <v>77</v>
      </c>
      <c r="B102" s="133" t="s">
        <v>243</v>
      </c>
      <c r="C102" s="221" t="s">
        <v>385</v>
      </c>
      <c r="D102" s="195" t="s">
        <v>348</v>
      </c>
      <c r="E102" s="156" t="s">
        <v>172</v>
      </c>
      <c r="F102" s="156" t="s">
        <v>185</v>
      </c>
      <c r="G102" s="123" t="s">
        <v>340</v>
      </c>
      <c r="H102" s="156" t="s">
        <v>630</v>
      </c>
      <c r="I102" s="175" t="s">
        <v>598</v>
      </c>
      <c r="J102" s="175" t="s">
        <v>598</v>
      </c>
      <c r="K102" s="240">
        <v>1</v>
      </c>
      <c r="L102" s="185" t="s">
        <v>566</v>
      </c>
      <c r="M102" s="203" t="s">
        <v>566</v>
      </c>
      <c r="N102" s="195" t="s">
        <v>193</v>
      </c>
      <c r="O102" s="214" t="s">
        <v>563</v>
      </c>
      <c r="P102" s="208">
        <v>42000</v>
      </c>
      <c r="Q102" s="221">
        <v>223000</v>
      </c>
      <c r="R102" s="229" t="s">
        <v>211</v>
      </c>
      <c r="S102" s="143"/>
      <c r="T102" s="230"/>
      <c r="U102" s="196"/>
      <c r="V102" s="134"/>
      <c r="W102" s="134"/>
      <c r="X102" s="134"/>
      <c r="Y102" s="343"/>
      <c r="Z102" s="343"/>
      <c r="AA102" s="192" t="s">
        <v>327</v>
      </c>
      <c r="AB102" s="223" t="s">
        <v>246</v>
      </c>
      <c r="AC102" s="219"/>
      <c r="AD102" s="252"/>
      <c r="AE102" s="191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256"/>
      <c r="AQ102" s="259">
        <f t="shared" ref="AQ102:AQ106" si="27">SUM(AE102:AP102)</f>
        <v>0</v>
      </c>
      <c r="AR102" s="288" t="str">
        <f t="shared" si="25"/>
        <v>OK</v>
      </c>
    </row>
    <row r="103" spans="1:44" s="136" customFormat="1" ht="63.75" hidden="1" x14ac:dyDescent="0.2">
      <c r="A103" s="135">
        <v>78</v>
      </c>
      <c r="B103" s="133" t="s">
        <v>243</v>
      </c>
      <c r="C103" s="221" t="s">
        <v>385</v>
      </c>
      <c r="D103" s="195" t="s">
        <v>349</v>
      </c>
      <c r="E103" s="156" t="s">
        <v>172</v>
      </c>
      <c r="F103" s="156" t="s">
        <v>185</v>
      </c>
      <c r="G103" s="123" t="s">
        <v>341</v>
      </c>
      <c r="H103" s="156" t="s">
        <v>630</v>
      </c>
      <c r="I103" s="175" t="s">
        <v>598</v>
      </c>
      <c r="J103" s="175" t="s">
        <v>598</v>
      </c>
      <c r="K103" s="240">
        <v>1</v>
      </c>
      <c r="L103" s="185" t="s">
        <v>566</v>
      </c>
      <c r="M103" s="203" t="s">
        <v>566</v>
      </c>
      <c r="N103" s="195" t="s">
        <v>193</v>
      </c>
      <c r="O103" s="214" t="s">
        <v>563</v>
      </c>
      <c r="P103" s="208">
        <v>42000</v>
      </c>
      <c r="Q103" s="221">
        <v>223000</v>
      </c>
      <c r="R103" s="229" t="s">
        <v>211</v>
      </c>
      <c r="S103" s="143"/>
      <c r="T103" s="230"/>
      <c r="U103" s="197"/>
      <c r="V103" s="134"/>
      <c r="W103" s="134"/>
      <c r="X103" s="134"/>
      <c r="Y103" s="343"/>
      <c r="Z103" s="343"/>
      <c r="AA103" s="192" t="s">
        <v>327</v>
      </c>
      <c r="AB103" s="223" t="s">
        <v>246</v>
      </c>
      <c r="AC103" s="219"/>
      <c r="AD103" s="252"/>
      <c r="AE103" s="191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256"/>
      <c r="AQ103" s="259">
        <f t="shared" si="27"/>
        <v>0</v>
      </c>
      <c r="AR103" s="288" t="str">
        <f t="shared" si="25"/>
        <v>OK</v>
      </c>
    </row>
    <row r="104" spans="1:44" s="136" customFormat="1" ht="63.75" hidden="1" x14ac:dyDescent="0.3">
      <c r="A104" s="135">
        <v>79</v>
      </c>
      <c r="B104" s="133" t="s">
        <v>243</v>
      </c>
      <c r="C104" s="221" t="s">
        <v>385</v>
      </c>
      <c r="D104" s="195" t="s">
        <v>168</v>
      </c>
      <c r="E104" s="156" t="s">
        <v>172</v>
      </c>
      <c r="F104" s="156" t="s">
        <v>185</v>
      </c>
      <c r="G104" s="123" t="s">
        <v>337</v>
      </c>
      <c r="H104" s="156" t="s">
        <v>630</v>
      </c>
      <c r="I104" s="175" t="s">
        <v>598</v>
      </c>
      <c r="J104" s="175" t="s">
        <v>598</v>
      </c>
      <c r="K104" s="240">
        <v>1</v>
      </c>
      <c r="L104" s="185" t="s">
        <v>566</v>
      </c>
      <c r="M104" s="203" t="s">
        <v>566</v>
      </c>
      <c r="N104" s="195" t="s">
        <v>193</v>
      </c>
      <c r="O104" s="214" t="s">
        <v>563</v>
      </c>
      <c r="P104" s="208">
        <v>42000</v>
      </c>
      <c r="Q104" s="221">
        <v>223000</v>
      </c>
      <c r="R104" s="229"/>
      <c r="S104" s="141">
        <v>42736</v>
      </c>
      <c r="T104" s="224">
        <v>43100</v>
      </c>
      <c r="U104" s="313">
        <v>0</v>
      </c>
      <c r="V104" s="311"/>
      <c r="W104" s="134"/>
      <c r="X104" s="134"/>
      <c r="Y104" s="343"/>
      <c r="Z104" s="342">
        <f t="shared" ref="Z104:Z105" si="28">+U104+Y104</f>
        <v>0</v>
      </c>
      <c r="AA104" s="192"/>
      <c r="AB104" s="223"/>
      <c r="AC104" s="219"/>
      <c r="AD104" s="252"/>
      <c r="AE104" s="191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256"/>
      <c r="AQ104" s="259">
        <f t="shared" si="27"/>
        <v>0</v>
      </c>
      <c r="AR104" s="288"/>
    </row>
    <row r="105" spans="1:44" s="136" customFormat="1" ht="65.25" customHeight="1" x14ac:dyDescent="0.25">
      <c r="A105" s="135">
        <v>35</v>
      </c>
      <c r="B105" s="133" t="s">
        <v>243</v>
      </c>
      <c r="C105" s="221" t="s">
        <v>385</v>
      </c>
      <c r="D105" s="195" t="s">
        <v>350</v>
      </c>
      <c r="E105" s="156" t="s">
        <v>172</v>
      </c>
      <c r="F105" s="156" t="s">
        <v>185</v>
      </c>
      <c r="G105" s="125" t="s">
        <v>336</v>
      </c>
      <c r="H105" s="156" t="s">
        <v>630</v>
      </c>
      <c r="I105" s="175" t="s">
        <v>598</v>
      </c>
      <c r="J105" s="175" t="s">
        <v>598</v>
      </c>
      <c r="K105" s="240">
        <v>1</v>
      </c>
      <c r="L105" s="185" t="s">
        <v>566</v>
      </c>
      <c r="M105" s="203" t="s">
        <v>566</v>
      </c>
      <c r="N105" s="195" t="s">
        <v>193</v>
      </c>
      <c r="O105" s="214" t="s">
        <v>563</v>
      </c>
      <c r="P105" s="208">
        <v>42000</v>
      </c>
      <c r="Q105" s="221">
        <v>223000</v>
      </c>
      <c r="R105" s="229" t="s">
        <v>211</v>
      </c>
      <c r="S105" s="141">
        <v>42736</v>
      </c>
      <c r="T105" s="224">
        <v>43100</v>
      </c>
      <c r="U105" s="310">
        <v>30000</v>
      </c>
      <c r="V105" s="311">
        <f>+U105</f>
        <v>30000</v>
      </c>
      <c r="W105" s="134"/>
      <c r="X105" s="134"/>
      <c r="Y105" s="343">
        <v>26743.77</v>
      </c>
      <c r="Z105" s="342">
        <f t="shared" si="28"/>
        <v>56743.770000000004</v>
      </c>
      <c r="AA105" s="192" t="s">
        <v>327</v>
      </c>
      <c r="AB105" s="223" t="s">
        <v>246</v>
      </c>
      <c r="AC105" s="295">
        <v>9701</v>
      </c>
      <c r="AD105" s="254" t="s">
        <v>336</v>
      </c>
      <c r="AE105" s="338">
        <v>0</v>
      </c>
      <c r="AF105" s="339">
        <v>30000</v>
      </c>
      <c r="AG105" s="339">
        <v>25293.82</v>
      </c>
      <c r="AH105" s="339">
        <v>0</v>
      </c>
      <c r="AI105" s="339">
        <v>0</v>
      </c>
      <c r="AJ105" s="339">
        <v>0</v>
      </c>
      <c r="AK105" s="339">
        <v>0</v>
      </c>
      <c r="AL105" s="339">
        <v>0</v>
      </c>
      <c r="AM105" s="339">
        <v>1449.95</v>
      </c>
      <c r="AN105" s="339">
        <v>0</v>
      </c>
      <c r="AO105" s="339">
        <v>0</v>
      </c>
      <c r="AP105" s="340">
        <v>0</v>
      </c>
      <c r="AQ105" s="259">
        <f t="shared" ref="AQ105" si="29">SUM(AE105:AP105)</f>
        <v>56743.77</v>
      </c>
      <c r="AR105" s="288" t="str">
        <f>IF(AQ105=SUM(V105:X105),"OK","ERROR")</f>
        <v>ERROR</v>
      </c>
    </row>
    <row r="106" spans="1:44" s="136" customFormat="1" ht="64.5" hidden="1" thickBot="1" x14ac:dyDescent="0.3">
      <c r="A106" s="135">
        <v>81</v>
      </c>
      <c r="B106" s="133" t="s">
        <v>243</v>
      </c>
      <c r="C106" s="221" t="s">
        <v>385</v>
      </c>
      <c r="D106" s="217" t="s">
        <v>351</v>
      </c>
      <c r="E106" s="242" t="s">
        <v>172</v>
      </c>
      <c r="F106" s="242" t="s">
        <v>185</v>
      </c>
      <c r="G106" s="243" t="s">
        <v>342</v>
      </c>
      <c r="H106" s="242" t="s">
        <v>630</v>
      </c>
      <c r="I106" s="244" t="s">
        <v>598</v>
      </c>
      <c r="J106" s="244" t="s">
        <v>598</v>
      </c>
      <c r="K106" s="245">
        <v>1</v>
      </c>
      <c r="L106" s="185" t="s">
        <v>566</v>
      </c>
      <c r="M106" s="203" t="s">
        <v>566</v>
      </c>
      <c r="N106" s="217" t="s">
        <v>193</v>
      </c>
      <c r="O106" s="218" t="s">
        <v>563</v>
      </c>
      <c r="P106" s="208">
        <v>42000</v>
      </c>
      <c r="Q106" s="221">
        <v>223000</v>
      </c>
      <c r="R106" s="233" t="s">
        <v>211</v>
      </c>
      <c r="S106" s="234"/>
      <c r="T106" s="235"/>
      <c r="U106" s="198"/>
      <c r="V106" s="199"/>
      <c r="W106" s="199"/>
      <c r="X106" s="199"/>
      <c r="Y106" s="345"/>
      <c r="Z106" s="345"/>
      <c r="AA106" s="200" t="s">
        <v>327</v>
      </c>
      <c r="AB106" s="248" t="s">
        <v>246</v>
      </c>
      <c r="AC106" s="298"/>
      <c r="AD106" s="255"/>
      <c r="AE106" s="198"/>
      <c r="AF106" s="199"/>
      <c r="AG106" s="199"/>
      <c r="AH106" s="199"/>
      <c r="AI106" s="199"/>
      <c r="AJ106" s="199"/>
      <c r="AK106" s="199"/>
      <c r="AL106" s="199"/>
      <c r="AM106" s="199"/>
      <c r="AN106" s="199"/>
      <c r="AO106" s="199"/>
      <c r="AP106" s="258"/>
      <c r="AQ106" s="259">
        <f t="shared" si="27"/>
        <v>0</v>
      </c>
      <c r="AR106" s="290" t="str">
        <f>IF(AQ106=SUM(V106:X106),"OK","ERROR")</f>
        <v>OK</v>
      </c>
    </row>
    <row r="107" spans="1:44" s="136" customFormat="1" ht="30.75" hidden="1" customHeight="1" x14ac:dyDescent="0.25">
      <c r="A107" s="144"/>
      <c r="B107" s="145"/>
      <c r="C107" s="145"/>
      <c r="D107" s="145"/>
      <c r="E107" s="146"/>
      <c r="F107" s="146"/>
      <c r="G107" s="327" t="s">
        <v>634</v>
      </c>
      <c r="H107" s="168"/>
      <c r="I107" s="168"/>
      <c r="J107" s="169"/>
      <c r="K107" s="170"/>
      <c r="L107" s="171"/>
      <c r="M107" s="171"/>
      <c r="N107" s="172"/>
      <c r="O107" s="172"/>
      <c r="P107" s="172"/>
      <c r="Q107" s="172"/>
      <c r="R107" s="173"/>
      <c r="S107" s="174"/>
      <c r="T107" s="174"/>
      <c r="U107" s="353">
        <f>SUBTOTAL(9,U37:U106)</f>
        <v>1596127</v>
      </c>
      <c r="V107" s="314"/>
      <c r="W107" s="147"/>
      <c r="X107" s="147"/>
      <c r="Y107" s="147"/>
      <c r="Z107" s="147">
        <f>SUBTOTAL(9,Z37:Z106)</f>
        <v>1735748.84</v>
      </c>
      <c r="AA107" s="148"/>
      <c r="AB107" s="149"/>
      <c r="AC107" s="146"/>
      <c r="AD107" s="146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4"/>
    </row>
    <row r="108" spans="1:44" ht="28.5" hidden="1" customHeight="1" x14ac:dyDescent="0.25">
      <c r="G108" s="122" t="s">
        <v>587</v>
      </c>
      <c r="H108" s="86"/>
      <c r="I108" s="86"/>
      <c r="J108" s="151"/>
      <c r="K108" s="152"/>
      <c r="L108" s="86"/>
      <c r="M108" s="152"/>
      <c r="N108" s="86"/>
      <c r="O108" s="464" t="s">
        <v>582</v>
      </c>
      <c r="P108" s="464"/>
      <c r="Q108" s="464"/>
      <c r="R108" s="464"/>
      <c r="S108" s="464"/>
      <c r="T108" s="464"/>
      <c r="U108" s="354">
        <f>+U34+U107</f>
        <v>2596127</v>
      </c>
      <c r="V108" s="315">
        <v>3104525.54</v>
      </c>
      <c r="Z108" s="153">
        <f>+Z34+Z107</f>
        <v>3104852.54</v>
      </c>
    </row>
    <row r="109" spans="1:44" ht="30" hidden="1" customHeight="1" x14ac:dyDescent="0.25">
      <c r="B109" s="449"/>
      <c r="C109" s="449"/>
      <c r="D109" s="449"/>
      <c r="E109" s="449"/>
      <c r="N109" s="449"/>
      <c r="O109" s="449"/>
      <c r="P109" s="449"/>
      <c r="Q109" s="449"/>
      <c r="V109" s="153">
        <f>+V108-U108</f>
        <v>508398.54000000004</v>
      </c>
      <c r="AN109" s="449"/>
      <c r="AO109" s="449"/>
      <c r="AP109" s="449"/>
      <c r="AQ109" s="449"/>
    </row>
    <row r="110" spans="1:44" hidden="1" x14ac:dyDescent="0.25">
      <c r="B110" s="450" t="s">
        <v>579</v>
      </c>
      <c r="C110" s="450"/>
      <c r="D110" s="450"/>
      <c r="E110" s="450"/>
      <c r="N110" s="450" t="s">
        <v>580</v>
      </c>
      <c r="O110" s="450"/>
      <c r="P110" s="450"/>
      <c r="Q110" s="450"/>
      <c r="AN110" s="450" t="s">
        <v>581</v>
      </c>
      <c r="AO110" s="450"/>
      <c r="AP110" s="450"/>
      <c r="AQ110" s="450"/>
    </row>
    <row r="111" spans="1:44" s="428" customFormat="1" ht="15" x14ac:dyDescent="0.25">
      <c r="A111" s="3"/>
      <c r="B111" s="129"/>
      <c r="C111" s="129"/>
      <c r="D111" s="150"/>
      <c r="E111" s="150"/>
      <c r="F111" s="150"/>
      <c r="G111" s="426"/>
      <c r="H111" s="129"/>
      <c r="I111" s="129"/>
      <c r="J111" s="153"/>
      <c r="K111" s="126"/>
      <c r="L111" s="129"/>
      <c r="M111" s="126"/>
      <c r="N111" s="129"/>
      <c r="O111" s="129"/>
      <c r="P111" s="129"/>
      <c r="Q111" s="129"/>
      <c r="R111" s="126"/>
      <c r="S111" s="155"/>
      <c r="T111" s="155"/>
      <c r="U111" s="153"/>
      <c r="V111" s="153"/>
      <c r="W111" s="153"/>
      <c r="X111" s="153"/>
      <c r="Y111" s="153"/>
      <c r="Z111" s="427"/>
      <c r="AA111" s="153"/>
      <c r="AB111" s="129"/>
      <c r="AC111" s="129"/>
      <c r="AE111" s="334">
        <f>SUBTOTAL(9,AE34:AE110)</f>
        <v>437666.65500000003</v>
      </c>
      <c r="AF111" s="334">
        <f t="shared" ref="AF111:AP111" si="30">SUBTOTAL(9,AF34:AF110)</f>
        <v>500245.7392424242</v>
      </c>
      <c r="AG111" s="334">
        <f t="shared" si="30"/>
        <v>654458.05924242432</v>
      </c>
      <c r="AH111" s="334">
        <f t="shared" si="30"/>
        <v>628368.1592424243</v>
      </c>
      <c r="AI111" s="334">
        <f t="shared" si="30"/>
        <v>360546.57924242422</v>
      </c>
      <c r="AJ111" s="334">
        <f t="shared" si="30"/>
        <v>265368.15924242424</v>
      </c>
      <c r="AK111" s="334">
        <f t="shared" si="30"/>
        <v>643766.55924242421</v>
      </c>
      <c r="AL111" s="334">
        <f t="shared" si="30"/>
        <v>433129.13524242421</v>
      </c>
      <c r="AM111" s="334">
        <f t="shared" si="30"/>
        <v>596158.32090909081</v>
      </c>
      <c r="AN111" s="334">
        <f t="shared" si="30"/>
        <v>497838.96890909091</v>
      </c>
      <c r="AO111" s="334">
        <f t="shared" si="30"/>
        <v>423486.12090909091</v>
      </c>
      <c r="AP111" s="334">
        <f t="shared" si="30"/>
        <v>768692.62090909085</v>
      </c>
      <c r="AQ111" s="427"/>
      <c r="AR111" s="126"/>
    </row>
    <row r="112" spans="1:44" x14ac:dyDescent="0.25">
      <c r="AE112" s="425"/>
      <c r="AF112" s="425"/>
      <c r="AG112" s="425"/>
      <c r="AH112" s="425"/>
      <c r="AI112" s="425"/>
      <c r="AJ112" s="425"/>
      <c r="AK112" s="425"/>
      <c r="AL112" s="425"/>
      <c r="AM112" s="425"/>
      <c r="AN112" s="425"/>
      <c r="AO112" s="425"/>
      <c r="AP112" s="425"/>
    </row>
  </sheetData>
  <autoFilter ref="A21:AT110">
    <filterColumn colId="42">
      <filters>
        <filter val="1.121.723,93"/>
        <filter val="1.500,00"/>
        <filter val="100.003,73"/>
        <filter val="102.448,77"/>
        <filter val="11.400,00"/>
        <filter val="11.500,00"/>
        <filter val="112.484,93"/>
        <filter val="125.000,00"/>
        <filter val="126.790,00"/>
        <filter val="13.500,00"/>
        <filter val="151.897,14"/>
        <filter val="160.824,37"/>
        <filter val="164.951,00"/>
        <filter val="2.000,00"/>
        <filter val="2.780,00"/>
        <filter val="200,00"/>
        <filter val="220.648,38"/>
        <filter val="221.032,72"/>
        <filter val="235.980,00"/>
        <filter val="26.630,34"/>
        <filter val="27.000,00"/>
        <filter val="29.500,00"/>
        <filter val="30.720,00"/>
        <filter val="32.730,00"/>
        <filter val="350,00"/>
        <filter val="40.000,00"/>
        <filter val="55.000,00"/>
        <filter val="56.743,77"/>
        <filter val="6.000,00"/>
        <filter val="62.193,38"/>
        <filter val="7.819,71"/>
        <filter val="87.394,37"/>
        <filter val="871.830,16"/>
      </filters>
    </filterColumn>
  </autoFilter>
  <dataConsolidate/>
  <mergeCells count="19">
    <mergeCell ref="O108:T108"/>
    <mergeCell ref="A20:A21"/>
    <mergeCell ref="D20:K20"/>
    <mergeCell ref="L20:M20"/>
    <mergeCell ref="N20:O20"/>
    <mergeCell ref="P20:Q20"/>
    <mergeCell ref="D16:AR19"/>
    <mergeCell ref="AB20:AD20"/>
    <mergeCell ref="AE20:AP20"/>
    <mergeCell ref="AQ20:AQ21"/>
    <mergeCell ref="AR20:AR21"/>
    <mergeCell ref="R20:T20"/>
    <mergeCell ref="U20:AA20"/>
    <mergeCell ref="B109:E109"/>
    <mergeCell ref="B110:E110"/>
    <mergeCell ref="N109:Q109"/>
    <mergeCell ref="N110:Q110"/>
    <mergeCell ref="AN109:AQ109"/>
    <mergeCell ref="AN110:AQ110"/>
  </mergeCells>
  <conditionalFormatting sqref="AR22:AR107">
    <cfRule type="containsText" dxfId="0" priority="2" operator="containsText" text="ERROR">
      <formula>NOT(ISERROR(SEARCH("ERROR",AR22)))</formula>
    </cfRule>
  </conditionalFormatting>
  <dataValidations count="2">
    <dataValidation type="decimal" allowBlank="1" showInputMessage="1" showErrorMessage="1" error="CELDA AUTOMATICA, NO INGRESE NINGUN VALOR" prompt="VERIFIQUE SI LA SUMA DE LOS VALORES INGRESADOS EN EL CRONOGRAMA DE EJECUCIÓN PRESUPUESTARIA ES IGUAL A LA SUMA DE LOS VALORES INGRESADOS EN EL FINANCIAMIENTO DEL PROYECTO" sqref="AR22:AR107">
      <formula1>0.00002</formula1>
      <formula2>11111111111111</formula2>
    </dataValidation>
    <dataValidation type="list" allowBlank="1" showInputMessage="1" showErrorMessage="1" error="LUEGO DE SELECCIONAR EL COMPONENTE, ESCOJA EL OBJETIVO ESPECIFICO DEL PDOT AL QUE SE ARTICULA SU PROYECTO" prompt="LUEGO DE SELECCIONAR EL COMPONENTE, ESCOJA EL OBJETIVO ESPECIFICO DEL PDOT AL QUE SE ARTICULA SU PROYECTO" sqref="F22:F107">
      <formula1>INDIRECT(E22)</formula1>
    </dataValidation>
  </dataValidations>
  <printOptions horizontalCentered="1"/>
  <pageMargins left="0" right="0" top="0.98" bottom="0.54" header="0" footer="0"/>
  <pageSetup paperSize="8" scale="49" fitToHeight="4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SELECCIONE SI SU PROYECTO ES DE TIPO ANUAL O PLURIANUAL" prompt="SELECCIONE SI SU PROYECTO ES DE TIPO ANUAL O PLURIANUAL">
          <x14:formula1>
            <xm:f>'DATOS 1'!$M$3:$M$4</xm:f>
          </x14:formula1>
          <xm:sqref>R22:R36</xm:sqref>
        </x14:dataValidation>
        <x14:dataValidation type="list" allowBlank="1" showInputMessage="1" showErrorMessage="1" prompt="ESCOJA EL TIPO DE CONTRATACIÓN POR CADA ACTIVIDAD DEL PROYECTO">
          <x14:formula1>
            <xm:f>'DATOS 1'!$G$3:$G$6</xm:f>
          </x14:formula1>
          <xm:sqref>M22:M95</xm:sqref>
        </x14:dataValidation>
        <x14:dataValidation type="list" allowBlank="1" showInputMessage="1" showErrorMessage="1" error="SELECCIONE EL COMPONENTE DEL PDOT AL QUE SE ARTICULA ESTE PROYECTO" prompt="SELECCIONE EL COMPONENTE DEL PDOT AL QUE SE ARTICULA ESTE PROYECTO">
          <x14:formula1>
            <xm:f>'DATOS 1'!$E$24:$E$28</xm:f>
          </x14:formula1>
          <xm:sqref>E22:E107</xm:sqref>
        </x14:dataValidation>
        <x14:dataValidation type="list" allowBlank="1" showInputMessage="1" showErrorMessage="1" error="SELECCIONE LA FUENTE DE ORIGEN DE SU PROYECTO" prompt="SELECCIONE LA FUENTE DE ORIGEN DE SU PROYECTO">
          <x14:formula1>
            <xm:f>'DATOS 1'!$D$3:$D$11</xm:f>
          </x14:formula1>
          <xm:sqref>D22:D107</xm:sqref>
        </x14:dataValidation>
        <x14:dataValidation type="list" allowBlank="1" showInputMessage="1" showErrorMessage="1" error="SELECCIONE LA LOCALIZACIÓN DEL PROYECTO" prompt="SELECCIONE LA LOCALIZACIÓN DEL PROYECTO">
          <x14:formula1>
            <xm:f>'DATOS 1'!$I$3:$I$20</xm:f>
          </x14:formula1>
          <xm:sqref>N22:N107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opLeftCell="H5" zoomScale="110" zoomScaleNormal="110" workbookViewId="0">
      <selection activeCell="E10" sqref="E10"/>
    </sheetView>
  </sheetViews>
  <sheetFormatPr baseColWidth="10" defaultColWidth="11.42578125" defaultRowHeight="15" x14ac:dyDescent="0.25"/>
  <cols>
    <col min="1" max="1" width="4.28515625" style="54" bestFit="1" customWidth="1"/>
    <col min="2" max="2" width="30.140625" style="55" bestFit="1" customWidth="1"/>
    <col min="3" max="4" width="27.42578125" style="55" customWidth="1"/>
    <col min="5" max="5" width="55" style="56" customWidth="1"/>
    <col min="6" max="6" width="30.5703125" style="54" bestFit="1" customWidth="1"/>
    <col min="7" max="7" width="18.5703125" style="57" customWidth="1"/>
    <col min="8" max="8" width="11.42578125" style="54"/>
    <col min="9" max="9" width="16.28515625" style="54" bestFit="1" customWidth="1"/>
    <col min="10" max="10" width="17.7109375" style="54" customWidth="1"/>
    <col min="11" max="12" width="11.42578125" style="54"/>
    <col min="13" max="13" width="13.85546875" style="54" bestFit="1" customWidth="1"/>
    <col min="14" max="14" width="14" style="54" customWidth="1"/>
    <col min="15" max="15" width="17" style="54" customWidth="1"/>
    <col min="16" max="17" width="8.7109375" style="54" customWidth="1"/>
    <col min="18" max="18" width="13.42578125" style="54" customWidth="1"/>
    <col min="19" max="19" width="16.5703125" style="57" customWidth="1"/>
    <col min="20" max="22" width="16.42578125" style="57" customWidth="1"/>
    <col min="23" max="23" width="15" style="54" customWidth="1"/>
    <col min="24" max="24" width="11.42578125" style="57" customWidth="1"/>
    <col min="25" max="16384" width="11.42578125" style="1"/>
  </cols>
  <sheetData>
    <row r="1" spans="1:25" ht="30" customHeight="1" x14ac:dyDescent="0.25">
      <c r="A1" s="472" t="s">
        <v>213</v>
      </c>
      <c r="B1" s="472"/>
      <c r="C1" s="473" t="s">
        <v>239</v>
      </c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3"/>
    </row>
    <row r="2" spans="1:25" ht="15" customHeight="1" x14ac:dyDescent="0.25">
      <c r="A2" s="42"/>
      <c r="B2" s="2" t="s">
        <v>242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3"/>
    </row>
    <row r="3" spans="1:25" ht="15" customHeight="1" x14ac:dyDescent="0.25">
      <c r="A3" s="43"/>
      <c r="B3" s="2" t="s">
        <v>214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3"/>
    </row>
    <row r="4" spans="1:25" s="3" customFormat="1" ht="30" customHeight="1" x14ac:dyDescent="0.25">
      <c r="A4" s="474" t="s">
        <v>0</v>
      </c>
      <c r="B4" s="48" t="s">
        <v>1</v>
      </c>
      <c r="C4" s="474" t="s">
        <v>10</v>
      </c>
      <c r="D4" s="474"/>
      <c r="E4" s="474"/>
      <c r="F4" s="474"/>
      <c r="G4" s="474"/>
      <c r="H4" s="474"/>
      <c r="I4" s="477" t="s">
        <v>26</v>
      </c>
      <c r="J4" s="478"/>
      <c r="K4" s="474" t="s">
        <v>11</v>
      </c>
      <c r="L4" s="474"/>
      <c r="M4" s="474" t="s">
        <v>14</v>
      </c>
      <c r="N4" s="474"/>
      <c r="O4" s="474" t="s">
        <v>17</v>
      </c>
      <c r="P4" s="474"/>
      <c r="Q4" s="474"/>
      <c r="R4" s="474" t="s">
        <v>24</v>
      </c>
      <c r="S4" s="475" t="s">
        <v>25</v>
      </c>
      <c r="T4" s="475"/>
      <c r="U4" s="475"/>
      <c r="V4" s="475"/>
      <c r="W4" s="27" t="s">
        <v>27</v>
      </c>
      <c r="X4" s="476" t="s">
        <v>236</v>
      </c>
    </row>
    <row r="5" spans="1:25" s="3" customFormat="1" ht="45" x14ac:dyDescent="0.25">
      <c r="A5" s="474"/>
      <c r="B5" s="27" t="s">
        <v>221</v>
      </c>
      <c r="C5" s="27" t="s">
        <v>7</v>
      </c>
      <c r="D5" s="27" t="s">
        <v>49</v>
      </c>
      <c r="E5" s="27" t="s">
        <v>2</v>
      </c>
      <c r="F5" s="27" t="s">
        <v>3</v>
      </c>
      <c r="G5" s="28" t="s">
        <v>4</v>
      </c>
      <c r="H5" s="27" t="s">
        <v>47</v>
      </c>
      <c r="I5" s="27" t="s">
        <v>235</v>
      </c>
      <c r="J5" s="27" t="s">
        <v>5</v>
      </c>
      <c r="K5" s="27" t="s">
        <v>12</v>
      </c>
      <c r="L5" s="27" t="s">
        <v>13</v>
      </c>
      <c r="M5" s="27" t="s">
        <v>15</v>
      </c>
      <c r="N5" s="27" t="s">
        <v>16</v>
      </c>
      <c r="O5" s="27" t="s">
        <v>20</v>
      </c>
      <c r="P5" s="27" t="s">
        <v>18</v>
      </c>
      <c r="Q5" s="27" t="s">
        <v>19</v>
      </c>
      <c r="R5" s="474"/>
      <c r="S5" s="28" t="s">
        <v>21</v>
      </c>
      <c r="T5" s="28" t="s">
        <v>22</v>
      </c>
      <c r="U5" s="28" t="s">
        <v>23</v>
      </c>
      <c r="V5" s="28" t="s">
        <v>44</v>
      </c>
      <c r="W5" s="27" t="s">
        <v>28</v>
      </c>
      <c r="X5" s="476"/>
    </row>
    <row r="6" spans="1:25" ht="72" x14ac:dyDescent="0.25">
      <c r="A6" s="67">
        <v>1</v>
      </c>
      <c r="B6" s="471" t="s">
        <v>243</v>
      </c>
      <c r="C6" s="471" t="s">
        <v>173</v>
      </c>
      <c r="D6" s="471" t="s">
        <v>188</v>
      </c>
      <c r="E6" s="67" t="s">
        <v>539</v>
      </c>
      <c r="F6" s="52" t="s">
        <v>547</v>
      </c>
      <c r="G6" s="53" t="s">
        <v>548</v>
      </c>
      <c r="H6" s="51" t="s">
        <v>578</v>
      </c>
      <c r="I6" s="50" t="s">
        <v>564</v>
      </c>
      <c r="J6" s="51" t="s">
        <v>191</v>
      </c>
      <c r="K6" s="50" t="s">
        <v>193</v>
      </c>
      <c r="L6" s="50" t="s">
        <v>563</v>
      </c>
      <c r="M6" s="50">
        <v>42000</v>
      </c>
      <c r="N6" s="50">
        <v>223000</v>
      </c>
      <c r="O6" s="51" t="s">
        <v>211</v>
      </c>
      <c r="P6" s="58">
        <v>42736</v>
      </c>
      <c r="Q6" s="58">
        <v>43100</v>
      </c>
      <c r="R6" s="53">
        <v>150000</v>
      </c>
      <c r="S6" s="53">
        <v>150000</v>
      </c>
      <c r="T6" s="53">
        <v>0</v>
      </c>
      <c r="U6" s="53">
        <v>0</v>
      </c>
      <c r="V6" s="103" t="s">
        <v>327</v>
      </c>
      <c r="W6" s="51" t="s">
        <v>246</v>
      </c>
      <c r="X6" s="53">
        <v>150000</v>
      </c>
    </row>
    <row r="7" spans="1:25" ht="48" x14ac:dyDescent="0.25">
      <c r="A7" s="67">
        <v>2</v>
      </c>
      <c r="B7" s="471"/>
      <c r="C7" s="471"/>
      <c r="D7" s="471"/>
      <c r="E7" s="108" t="s">
        <v>540</v>
      </c>
      <c r="F7" s="107" t="s">
        <v>547</v>
      </c>
      <c r="G7" s="112" t="s">
        <v>549</v>
      </c>
      <c r="H7" s="113" t="s">
        <v>574</v>
      </c>
      <c r="I7" s="107" t="s">
        <v>564</v>
      </c>
      <c r="J7" s="113" t="s">
        <v>191</v>
      </c>
      <c r="K7" s="107" t="s">
        <v>193</v>
      </c>
      <c r="L7" s="107" t="s">
        <v>563</v>
      </c>
      <c r="M7" s="107">
        <v>42000</v>
      </c>
      <c r="N7" s="107">
        <v>223000</v>
      </c>
      <c r="O7" s="113" t="s">
        <v>211</v>
      </c>
      <c r="P7" s="114">
        <v>42736</v>
      </c>
      <c r="Q7" s="114">
        <v>43100</v>
      </c>
      <c r="R7" s="112">
        <v>40000</v>
      </c>
      <c r="S7" s="112">
        <v>40000</v>
      </c>
      <c r="T7" s="112">
        <v>0</v>
      </c>
      <c r="U7" s="53">
        <v>0</v>
      </c>
      <c r="V7" s="103" t="s">
        <v>327</v>
      </c>
      <c r="W7" s="51" t="s">
        <v>246</v>
      </c>
      <c r="X7" s="112">
        <v>40000</v>
      </c>
    </row>
    <row r="8" spans="1:25" ht="48" x14ac:dyDescent="0.25">
      <c r="A8" s="67">
        <v>3</v>
      </c>
      <c r="B8" s="471"/>
      <c r="C8" s="471"/>
      <c r="D8" s="471"/>
      <c r="E8" s="108" t="s">
        <v>541</v>
      </c>
      <c r="F8" s="107" t="s">
        <v>547</v>
      </c>
      <c r="G8" s="112" t="s">
        <v>550</v>
      </c>
      <c r="H8" s="113" t="s">
        <v>573</v>
      </c>
      <c r="I8" s="107" t="s">
        <v>564</v>
      </c>
      <c r="J8" s="113" t="s">
        <v>191</v>
      </c>
      <c r="K8" s="107" t="s">
        <v>193</v>
      </c>
      <c r="L8" s="107" t="s">
        <v>563</v>
      </c>
      <c r="M8" s="107">
        <v>42000</v>
      </c>
      <c r="N8" s="107">
        <v>223000</v>
      </c>
      <c r="O8" s="113" t="s">
        <v>211</v>
      </c>
      <c r="P8" s="114">
        <v>42736</v>
      </c>
      <c r="Q8" s="114">
        <v>43100</v>
      </c>
      <c r="R8" s="112">
        <v>10000</v>
      </c>
      <c r="S8" s="112">
        <v>10000</v>
      </c>
      <c r="T8" s="112">
        <v>0</v>
      </c>
      <c r="U8" s="53">
        <v>0</v>
      </c>
      <c r="V8" s="103" t="s">
        <v>327</v>
      </c>
      <c r="W8" s="51" t="s">
        <v>246</v>
      </c>
      <c r="X8" s="112">
        <v>10000</v>
      </c>
    </row>
    <row r="9" spans="1:25" ht="48" x14ac:dyDescent="0.25">
      <c r="A9" s="67">
        <v>4</v>
      </c>
      <c r="B9" s="471"/>
      <c r="C9" s="471"/>
      <c r="D9" s="471"/>
      <c r="E9" s="108" t="s">
        <v>542</v>
      </c>
      <c r="F9" s="107" t="s">
        <v>547</v>
      </c>
      <c r="G9" s="111" t="s">
        <v>557</v>
      </c>
      <c r="H9" s="108" t="s">
        <v>572</v>
      </c>
      <c r="I9" s="107" t="s">
        <v>564</v>
      </c>
      <c r="J9" s="108" t="s">
        <v>191</v>
      </c>
      <c r="K9" s="107" t="s">
        <v>193</v>
      </c>
      <c r="L9" s="107" t="s">
        <v>563</v>
      </c>
      <c r="M9" s="107">
        <v>42000</v>
      </c>
      <c r="N9" s="107">
        <v>223000</v>
      </c>
      <c r="O9" s="108" t="s">
        <v>211</v>
      </c>
      <c r="P9" s="114">
        <v>42736</v>
      </c>
      <c r="Q9" s="114">
        <v>43100</v>
      </c>
      <c r="R9" s="115">
        <v>166500</v>
      </c>
      <c r="S9" s="112">
        <v>166500</v>
      </c>
      <c r="T9" s="53">
        <v>0</v>
      </c>
      <c r="U9" s="53">
        <v>0</v>
      </c>
      <c r="V9" s="103" t="s">
        <v>327</v>
      </c>
      <c r="W9" s="51" t="s">
        <v>246</v>
      </c>
      <c r="X9" s="112">
        <v>166500</v>
      </c>
    </row>
    <row r="10" spans="1:25" ht="60" x14ac:dyDescent="0.25">
      <c r="A10" s="67">
        <v>5</v>
      </c>
      <c r="B10" s="471"/>
      <c r="C10" s="471"/>
      <c r="D10" s="471"/>
      <c r="E10" s="108" t="s">
        <v>543</v>
      </c>
      <c r="F10" s="107" t="s">
        <v>547</v>
      </c>
      <c r="G10" s="117" t="s">
        <v>558</v>
      </c>
      <c r="H10" s="116" t="s">
        <v>571</v>
      </c>
      <c r="I10" s="107" t="s">
        <v>564</v>
      </c>
      <c r="J10" s="108" t="s">
        <v>191</v>
      </c>
      <c r="K10" s="107" t="s">
        <v>193</v>
      </c>
      <c r="L10" s="107" t="s">
        <v>563</v>
      </c>
      <c r="M10" s="107">
        <v>42000</v>
      </c>
      <c r="N10" s="107">
        <v>223000</v>
      </c>
      <c r="O10" s="108" t="s">
        <v>211</v>
      </c>
      <c r="P10" s="118">
        <v>42736</v>
      </c>
      <c r="Q10" s="118">
        <v>43100</v>
      </c>
      <c r="R10" s="119">
        <v>100000</v>
      </c>
      <c r="S10" s="120">
        <v>100000</v>
      </c>
      <c r="T10" s="112">
        <v>0</v>
      </c>
      <c r="U10" s="53">
        <v>0</v>
      </c>
      <c r="V10" s="103" t="s">
        <v>327</v>
      </c>
      <c r="W10" s="63" t="s">
        <v>246</v>
      </c>
      <c r="X10" s="120">
        <v>100000</v>
      </c>
    </row>
    <row r="11" spans="1:25" ht="36" x14ac:dyDescent="0.25">
      <c r="A11" s="67">
        <v>6</v>
      </c>
      <c r="B11" s="471"/>
      <c r="C11" s="471"/>
      <c r="D11" s="471"/>
      <c r="E11" s="108" t="s">
        <v>576</v>
      </c>
      <c r="F11" s="107" t="s">
        <v>547</v>
      </c>
      <c r="G11" s="111" t="s">
        <v>559</v>
      </c>
      <c r="H11" s="108" t="s">
        <v>569</v>
      </c>
      <c r="I11" s="109" t="s">
        <v>565</v>
      </c>
      <c r="J11" s="108" t="s">
        <v>192</v>
      </c>
      <c r="K11" s="107" t="s">
        <v>193</v>
      </c>
      <c r="L11" s="107" t="s">
        <v>563</v>
      </c>
      <c r="M11" s="107">
        <v>42000</v>
      </c>
      <c r="N11" s="107">
        <v>223000</v>
      </c>
      <c r="O11" s="108" t="s">
        <v>211</v>
      </c>
      <c r="P11" s="110">
        <v>42736</v>
      </c>
      <c r="Q11" s="110">
        <v>43100</v>
      </c>
      <c r="R11" s="111">
        <v>100000</v>
      </c>
      <c r="S11" s="111">
        <v>100000</v>
      </c>
      <c r="T11" s="53">
        <v>0</v>
      </c>
      <c r="U11" s="53">
        <v>0</v>
      </c>
      <c r="V11" s="103" t="s">
        <v>327</v>
      </c>
      <c r="W11" s="67" t="s">
        <v>246</v>
      </c>
      <c r="X11" s="111">
        <v>100000</v>
      </c>
    </row>
    <row r="12" spans="1:25" ht="60" x14ac:dyDescent="0.25">
      <c r="A12" s="67">
        <v>7</v>
      </c>
      <c r="B12" s="471"/>
      <c r="C12" s="471"/>
      <c r="D12" s="471"/>
      <c r="E12" s="108" t="s">
        <v>577</v>
      </c>
      <c r="F12" s="107" t="s">
        <v>547</v>
      </c>
      <c r="G12" s="111" t="s">
        <v>560</v>
      </c>
      <c r="H12" s="108" t="s">
        <v>570</v>
      </c>
      <c r="I12" s="107" t="s">
        <v>564</v>
      </c>
      <c r="J12" s="108" t="s">
        <v>190</v>
      </c>
      <c r="K12" s="107" t="s">
        <v>193</v>
      </c>
      <c r="L12" s="107" t="s">
        <v>563</v>
      </c>
      <c r="M12" s="107">
        <v>42000</v>
      </c>
      <c r="N12" s="107">
        <v>223000</v>
      </c>
      <c r="O12" s="108" t="s">
        <v>211</v>
      </c>
      <c r="P12" s="110">
        <v>42736</v>
      </c>
      <c r="Q12" s="110">
        <v>43100</v>
      </c>
      <c r="R12" s="111">
        <v>300000</v>
      </c>
      <c r="S12" s="111">
        <v>300000</v>
      </c>
      <c r="T12" s="112">
        <v>0</v>
      </c>
      <c r="U12" s="53">
        <v>0</v>
      </c>
      <c r="V12" s="103" t="s">
        <v>327</v>
      </c>
      <c r="W12" s="67" t="s">
        <v>246</v>
      </c>
      <c r="X12" s="111">
        <v>300000</v>
      </c>
    </row>
    <row r="13" spans="1:25" ht="84" x14ac:dyDescent="0.25">
      <c r="A13" s="67">
        <v>8</v>
      </c>
      <c r="B13" s="471"/>
      <c r="C13" s="471"/>
      <c r="D13" s="471"/>
      <c r="E13" s="108" t="s">
        <v>544</v>
      </c>
      <c r="F13" s="107" t="s">
        <v>547</v>
      </c>
      <c r="G13" s="111" t="s">
        <v>561</v>
      </c>
      <c r="H13" s="108" t="s">
        <v>567</v>
      </c>
      <c r="I13" s="107" t="s">
        <v>564</v>
      </c>
      <c r="J13" s="108" t="s">
        <v>191</v>
      </c>
      <c r="K13" s="107" t="s">
        <v>193</v>
      </c>
      <c r="L13" s="107" t="s">
        <v>563</v>
      </c>
      <c r="M13" s="107">
        <v>42000</v>
      </c>
      <c r="N13" s="107">
        <v>223000</v>
      </c>
      <c r="O13" s="108" t="s">
        <v>211</v>
      </c>
      <c r="P13" s="110">
        <v>42736</v>
      </c>
      <c r="Q13" s="110">
        <v>43100</v>
      </c>
      <c r="R13" s="111">
        <v>50000</v>
      </c>
      <c r="S13" s="111">
        <v>50000</v>
      </c>
      <c r="T13" s="112">
        <v>0</v>
      </c>
      <c r="U13" s="53">
        <v>0</v>
      </c>
      <c r="V13" s="103" t="s">
        <v>327</v>
      </c>
      <c r="W13" s="67" t="s">
        <v>246</v>
      </c>
      <c r="X13" s="111">
        <v>50000</v>
      </c>
    </row>
  </sheetData>
  <autoFilter ref="A5:G12"/>
  <mergeCells count="14">
    <mergeCell ref="B6:B13"/>
    <mergeCell ref="C6:C13"/>
    <mergeCell ref="D6:D13"/>
    <mergeCell ref="A1:B1"/>
    <mergeCell ref="C1:X3"/>
    <mergeCell ref="O4:Q4"/>
    <mergeCell ref="R4:R5"/>
    <mergeCell ref="S4:V4"/>
    <mergeCell ref="X4:X5"/>
    <mergeCell ref="A4:A5"/>
    <mergeCell ref="C4:H4"/>
    <mergeCell ref="I4:J4"/>
    <mergeCell ref="K4:L4"/>
    <mergeCell ref="M4:N4"/>
  </mergeCells>
  <dataValidations count="1">
    <dataValidation type="list" allowBlank="1" showInputMessage="1" showErrorMessage="1" error="LUEGO DE SELECCIONAR EL COMPONENTE, ESCOJA EL OBJETIVO ESPECIFICO DEL PDOT AL QUE SE ARTICULA SU PROYECTO" prompt="LUEGO DE SELECCIONAR EL COMPONENTE, ESCOJA EL OBJETIVO ESPECIFICO DEL PDOT AL QUE SE ARTICULA SU PROYECTO" sqref="D6">
      <formula1>INDIRECT(C6)</formula1>
    </dataValidation>
  </dataValidations>
  <pageMargins left="0.11811023622047245" right="0.31496062992125984" top="0.74803149606299213" bottom="0.74803149606299213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SELECCIONE SI SU PROYECTO ES DE TIPO ANUAL O PLURIANUAL" prompt="SELECCIONE SI SU PROYECTO ES DE TIPO ANUAL O PLURIANUAL">
          <x14:formula1>
            <xm:f>'DATOS 1'!$M$3:$M$4</xm:f>
          </x14:formula1>
          <xm:sqref>O6:O13</xm:sqref>
        </x14:dataValidation>
        <x14:dataValidation type="list" allowBlank="1" showInputMessage="1" showErrorMessage="1" error="SELECCIONE LA LOCALIZACIÓN DEL PROYECTO" prompt="SELECCIONE LA LOCALIZACIÓN DEL PROYECTO">
          <x14:formula1>
            <xm:f>'DATOS 1'!$I$3:$I$20</xm:f>
          </x14:formula1>
          <xm:sqref>K6:K13</xm:sqref>
        </x14:dataValidation>
        <x14:dataValidation type="list" allowBlank="1" showInputMessage="1" showErrorMessage="1" prompt="ESCOJA EL TIPO DE CONTRATACIÓN POR CADA ACTIVIDAD DEL PROYECTO">
          <x14:formula1>
            <xm:f>'DATOS 1'!$G$3:$G$6</xm:f>
          </x14:formula1>
          <xm:sqref>J6:J13</xm:sqref>
        </x14:dataValidation>
        <x14:dataValidation type="list" allowBlank="1" showInputMessage="1" showErrorMessage="1" error="SELECCIONE EL COMPONENTE DEL PDOT AL QUE SE ARTICULA ESTE PROYECTO" prompt="SELECCIONE EL COMPONENTE DEL PDOT AL QUE SE ARTICULA ESTE PROYECTO">
          <x14:formula1>
            <xm:f>'DATOS 1'!$E$24:$E$28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topLeftCell="G1" zoomScale="70" zoomScaleNormal="70" workbookViewId="0">
      <selection activeCell="J18" sqref="J18"/>
    </sheetView>
  </sheetViews>
  <sheetFormatPr baseColWidth="10" defaultColWidth="11.42578125" defaultRowHeight="15" x14ac:dyDescent="0.25"/>
  <cols>
    <col min="1" max="1" width="4.28515625" style="54" bestFit="1" customWidth="1"/>
    <col min="2" max="2" width="50" style="55" bestFit="1" customWidth="1"/>
    <col min="3" max="5" width="30" style="55" customWidth="1"/>
    <col min="6" max="6" width="55" style="56" customWidth="1"/>
    <col min="7" max="7" width="30.5703125" style="54" bestFit="1" customWidth="1"/>
    <col min="8" max="8" width="18.5703125" style="57" customWidth="1"/>
    <col min="9" max="9" width="11.42578125" style="54"/>
    <col min="10" max="10" width="16.28515625" style="54" bestFit="1" customWidth="1"/>
    <col min="11" max="11" width="15.5703125" style="54" customWidth="1"/>
    <col min="12" max="13" width="11.42578125" style="54"/>
    <col min="14" max="14" width="13.85546875" style="54" bestFit="1" customWidth="1"/>
    <col min="15" max="15" width="14" style="54" customWidth="1"/>
    <col min="16" max="16" width="17" style="54" customWidth="1"/>
    <col min="17" max="18" width="8.7109375" style="54" customWidth="1"/>
    <col min="19" max="19" width="11.42578125" style="54"/>
    <col min="20" max="20" width="16.5703125" style="57" customWidth="1"/>
    <col min="21" max="23" width="16.42578125" style="57" customWidth="1"/>
    <col min="24" max="24" width="15" style="54" customWidth="1"/>
    <col min="25" max="25" width="11.42578125" style="57" customWidth="1"/>
    <col min="26" max="26" width="11.42578125" style="54"/>
    <col min="27" max="16384" width="11.42578125" style="1"/>
  </cols>
  <sheetData>
    <row r="1" spans="1:41" ht="30" customHeight="1" x14ac:dyDescent="0.25">
      <c r="A1" s="472" t="s">
        <v>213</v>
      </c>
      <c r="B1" s="472"/>
      <c r="C1" s="479" t="s">
        <v>48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15" customHeight="1" x14ac:dyDescent="0.25">
      <c r="A2" s="42"/>
      <c r="B2" s="2" t="s">
        <v>242</v>
      </c>
      <c r="C2" s="479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15" customHeight="1" x14ac:dyDescent="0.25">
      <c r="A3" s="43"/>
      <c r="B3" s="2" t="s">
        <v>214</v>
      </c>
      <c r="C3" s="479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s="3" customFormat="1" ht="30" customHeight="1" x14ac:dyDescent="0.25">
      <c r="A4" s="474" t="s">
        <v>0</v>
      </c>
      <c r="B4" s="48" t="s">
        <v>1</v>
      </c>
      <c r="C4" s="474"/>
      <c r="D4" s="474"/>
      <c r="E4" s="474"/>
      <c r="F4" s="474"/>
      <c r="G4" s="474"/>
      <c r="H4" s="474"/>
      <c r="I4" s="474"/>
      <c r="J4" s="477" t="s">
        <v>26</v>
      </c>
      <c r="K4" s="478"/>
      <c r="L4" s="474" t="s">
        <v>11</v>
      </c>
      <c r="M4" s="474"/>
      <c r="N4" s="474" t="s">
        <v>14</v>
      </c>
      <c r="O4" s="474"/>
      <c r="P4" s="474" t="s">
        <v>17</v>
      </c>
      <c r="Q4" s="474"/>
      <c r="R4" s="474"/>
      <c r="S4" s="481" t="s">
        <v>24</v>
      </c>
      <c r="T4" s="475" t="s">
        <v>25</v>
      </c>
      <c r="U4" s="475"/>
      <c r="V4" s="475"/>
      <c r="W4" s="475"/>
      <c r="X4" s="27" t="s">
        <v>27</v>
      </c>
      <c r="Y4" s="483" t="s">
        <v>236</v>
      </c>
    </row>
    <row r="5" spans="1:41" s="3" customFormat="1" ht="45" x14ac:dyDescent="0.25">
      <c r="A5" s="474"/>
      <c r="B5" s="27" t="s">
        <v>221</v>
      </c>
      <c r="C5" s="27" t="s">
        <v>7</v>
      </c>
      <c r="D5" s="27" t="s">
        <v>49</v>
      </c>
      <c r="E5" s="27" t="s">
        <v>237</v>
      </c>
      <c r="F5" s="27" t="s">
        <v>2</v>
      </c>
      <c r="G5" s="27" t="s">
        <v>3</v>
      </c>
      <c r="H5" s="28" t="s">
        <v>4</v>
      </c>
      <c r="I5" s="27" t="s">
        <v>47</v>
      </c>
      <c r="J5" s="27" t="s">
        <v>235</v>
      </c>
      <c r="K5" s="27" t="s">
        <v>5</v>
      </c>
      <c r="L5" s="27" t="s">
        <v>12</v>
      </c>
      <c r="M5" s="27" t="s">
        <v>13</v>
      </c>
      <c r="N5" s="27" t="s">
        <v>15</v>
      </c>
      <c r="O5" s="27" t="s">
        <v>16</v>
      </c>
      <c r="P5" s="27" t="s">
        <v>20</v>
      </c>
      <c r="Q5" s="27" t="s">
        <v>18</v>
      </c>
      <c r="R5" s="27" t="s">
        <v>19</v>
      </c>
      <c r="S5" s="482"/>
      <c r="T5" s="28" t="s">
        <v>21</v>
      </c>
      <c r="U5" s="28" t="s">
        <v>22</v>
      </c>
      <c r="V5" s="28" t="s">
        <v>23</v>
      </c>
      <c r="W5" s="28" t="s">
        <v>44</v>
      </c>
      <c r="X5" s="27" t="s">
        <v>28</v>
      </c>
      <c r="Y5" s="484"/>
    </row>
    <row r="6" spans="1:41" ht="15" customHeight="1" x14ac:dyDescent="0.25">
      <c r="A6" s="49"/>
      <c r="B6" s="50"/>
      <c r="C6" s="50"/>
      <c r="D6" s="50"/>
      <c r="E6" s="50"/>
      <c r="F6" s="51"/>
      <c r="G6" s="52"/>
      <c r="H6" s="53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3"/>
      <c r="U6" s="53"/>
      <c r="V6" s="53"/>
      <c r="W6" s="53"/>
      <c r="X6" s="50"/>
      <c r="Y6" s="53"/>
    </row>
    <row r="7" spans="1:41" x14ac:dyDescent="0.25">
      <c r="A7" s="49"/>
      <c r="B7" s="50"/>
      <c r="C7" s="50"/>
      <c r="D7" s="50"/>
      <c r="E7" s="50"/>
      <c r="F7" s="51"/>
      <c r="G7" s="52"/>
      <c r="H7" s="53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3"/>
      <c r="U7" s="53"/>
      <c r="V7" s="53"/>
      <c r="W7" s="53"/>
      <c r="X7" s="50"/>
      <c r="Y7" s="53"/>
    </row>
    <row r="8" spans="1:41" x14ac:dyDescent="0.25">
      <c r="A8" s="49"/>
      <c r="B8" s="50"/>
      <c r="C8" s="50"/>
      <c r="D8" s="50"/>
      <c r="E8" s="50"/>
      <c r="F8" s="51"/>
      <c r="G8" s="52"/>
      <c r="H8" s="53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3"/>
      <c r="U8" s="53"/>
      <c r="V8" s="53"/>
      <c r="W8" s="53"/>
      <c r="X8" s="50"/>
      <c r="Y8" s="53"/>
    </row>
    <row r="9" spans="1:41" x14ac:dyDescent="0.25">
      <c r="A9" s="49"/>
      <c r="B9" s="50"/>
      <c r="C9" s="50"/>
      <c r="D9" s="50"/>
      <c r="E9" s="50"/>
      <c r="F9" s="51"/>
      <c r="G9" s="52"/>
      <c r="H9" s="53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3"/>
      <c r="U9" s="53"/>
      <c r="V9" s="53"/>
      <c r="W9" s="53"/>
      <c r="X9" s="50"/>
      <c r="Y9" s="53"/>
    </row>
    <row r="10" spans="1:41" x14ac:dyDescent="0.25">
      <c r="A10" s="49"/>
      <c r="B10" s="50"/>
      <c r="C10" s="50"/>
      <c r="D10" s="50"/>
      <c r="E10" s="50"/>
      <c r="F10" s="51"/>
      <c r="G10" s="52"/>
      <c r="H10" s="53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3"/>
      <c r="U10" s="53"/>
      <c r="V10" s="53"/>
      <c r="W10" s="53"/>
      <c r="X10" s="50"/>
      <c r="Y10" s="53"/>
    </row>
    <row r="11" spans="1:41" x14ac:dyDescent="0.25">
      <c r="A11" s="49"/>
      <c r="B11" s="50"/>
      <c r="C11" s="50"/>
      <c r="D11" s="50"/>
      <c r="E11" s="50"/>
      <c r="F11" s="51"/>
      <c r="G11" s="52"/>
      <c r="H11" s="53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3"/>
      <c r="U11" s="53"/>
      <c r="V11" s="53"/>
      <c r="W11" s="53"/>
      <c r="X11" s="50"/>
      <c r="Y11" s="53"/>
    </row>
    <row r="12" spans="1:41" x14ac:dyDescent="0.25">
      <c r="A12" s="49"/>
      <c r="B12" s="50"/>
      <c r="C12" s="50"/>
      <c r="D12" s="50"/>
      <c r="E12" s="50"/>
      <c r="F12" s="51"/>
      <c r="G12" s="52"/>
      <c r="H12" s="53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3"/>
      <c r="U12" s="53"/>
      <c r="V12" s="53"/>
      <c r="W12" s="53"/>
      <c r="X12" s="50"/>
      <c r="Y12" s="53"/>
    </row>
  </sheetData>
  <autoFilter ref="A5:H12"/>
  <mergeCells count="11">
    <mergeCell ref="A1:B1"/>
    <mergeCell ref="C1:Y3"/>
    <mergeCell ref="A4:A5"/>
    <mergeCell ref="C4:I4"/>
    <mergeCell ref="J4:K4"/>
    <mergeCell ref="L4:M4"/>
    <mergeCell ref="N4:O4"/>
    <mergeCell ref="P4:R4"/>
    <mergeCell ref="S4:S5"/>
    <mergeCell ref="T4:W4"/>
    <mergeCell ref="Y4:Y5"/>
  </mergeCells>
  <dataValidations count="1">
    <dataValidation type="list" allowBlank="1" showInputMessage="1" showErrorMessage="1" error="LUEGO DE SELECCIONAR EL COMPONENTE, ESCOJA EL OBJETIVO ESPECIFICO DEL PDOT AL QUE SE ARTICULA SU PROYECTO" prompt="LUEGO DE SELECCIONAR EL COMPONENTE, ESCOJA EL OBJETIVO ESPECIFICO DEL PDOT AL QUE SE ARTICULA SU PROYECTO" sqref="D6:E12">
      <formula1>INDIRECT(C6)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SELECCIONE DIRECCIÓN / EMPRESA">
          <x14:formula1>
            <xm:f>'DATOS 1'!$C$3:$C$35</xm:f>
          </x14:formula1>
          <xm:sqref>B6:B12</xm:sqref>
        </x14:dataValidation>
        <x14:dataValidation type="list" allowBlank="1" showInputMessage="1" showErrorMessage="1" error="SELECCIONE EL COMPONENTE DEL PDOT AL QUE SE ARTICULA ESTE PROYECTO" prompt="SELECCIONE EL COMPONENTE DEL PDOT AL QUE SE ARTICULA ESTE PROYECTO">
          <x14:formula1>
            <xm:f>'DATOS 1'!$E$24:$E$28</xm:f>
          </x14:formula1>
          <xm:sqref>C6:C12</xm:sqref>
        </x14:dataValidation>
        <x14:dataValidation type="list" allowBlank="1" showInputMessage="1" showErrorMessage="1" prompt="ESCOJA EL TIPO DE CONTRATACIÓN POR CADA ACTIVIDAD DEL PROYECTO">
          <x14:formula1>
            <xm:f>'DATOS 1'!$G$3:$G$6</xm:f>
          </x14:formula1>
          <xm:sqref>K6:K12</xm:sqref>
        </x14:dataValidation>
        <x14:dataValidation type="list" allowBlank="1" showInputMessage="1" showErrorMessage="1" error="SELECCIONE LA LOCALIZACIÓN DEL PROYECTO" prompt="SELECCIONE LA LOCALIZACIÓN DEL PROYECTO">
          <x14:formula1>
            <xm:f>'DATOS 1'!$I$3:$I$20</xm:f>
          </x14:formula1>
          <xm:sqref>L6:L12</xm:sqref>
        </x14:dataValidation>
        <x14:dataValidation type="list" allowBlank="1" showInputMessage="1" showErrorMessage="1" error="SELECCIONE SI SU PROYECTO ES DE TIPO ANUAL O PLURIANUAL" prompt="SELECCIONE SI SU PROYECTO ES DE TIPO ANUAL O PLURIANUAL">
          <x14:formula1>
            <xm:f>'DATOS 1'!$M$3:$M$4</xm:f>
          </x14:formula1>
          <xm:sqref>P6:P12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="90" zoomScaleNormal="90" workbookViewId="0">
      <selection activeCell="C1" sqref="C1:X3"/>
    </sheetView>
  </sheetViews>
  <sheetFormatPr baseColWidth="10" defaultColWidth="11.42578125" defaultRowHeight="15" x14ac:dyDescent="0.25"/>
  <cols>
    <col min="1" max="1" width="4.28515625" style="54" bestFit="1" customWidth="1"/>
    <col min="2" max="2" width="22.42578125" style="55" bestFit="1" customWidth="1"/>
    <col min="3" max="3" width="19.42578125" style="55" customWidth="1"/>
    <col min="4" max="4" width="30" style="55" customWidth="1"/>
    <col min="5" max="5" width="42.5703125" style="56" bestFit="1" customWidth="1"/>
    <col min="6" max="6" width="32" style="54" bestFit="1" customWidth="1"/>
    <col min="7" max="7" width="16.42578125" style="57" bestFit="1" customWidth="1"/>
    <col min="8" max="8" width="9.42578125" style="54" bestFit="1" customWidth="1"/>
    <col min="9" max="9" width="11.140625" style="54" bestFit="1" customWidth="1"/>
    <col min="10" max="10" width="13.42578125" style="54" bestFit="1" customWidth="1"/>
    <col min="11" max="11" width="10.42578125" style="54" bestFit="1" customWidth="1"/>
    <col min="12" max="12" width="7.140625" style="54" bestFit="1" customWidth="1"/>
    <col min="13" max="14" width="12.42578125" style="54" bestFit="1" customWidth="1"/>
    <col min="15" max="15" width="15" style="54" bestFit="1" customWidth="1"/>
    <col min="16" max="17" width="7" style="54" bestFit="1" customWidth="1"/>
    <col min="18" max="18" width="12.42578125" style="54" bestFit="1" customWidth="1"/>
    <col min="19" max="19" width="9.5703125" style="57" bestFit="1" customWidth="1"/>
    <col min="20" max="21" width="14" style="57" bestFit="1" customWidth="1"/>
    <col min="22" max="22" width="10.7109375" style="57" bestFit="1" customWidth="1"/>
    <col min="23" max="23" width="13.140625" style="54" bestFit="1" customWidth="1"/>
    <col min="24" max="24" width="13" style="57" customWidth="1"/>
    <col min="25" max="16384" width="11.42578125" style="1"/>
  </cols>
  <sheetData>
    <row r="1" spans="1:24" ht="30" customHeight="1" x14ac:dyDescent="0.25">
      <c r="A1" s="472" t="s">
        <v>213</v>
      </c>
      <c r="B1" s="472"/>
      <c r="C1" s="479" t="s">
        <v>238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</row>
    <row r="2" spans="1:24" ht="15" customHeight="1" x14ac:dyDescent="0.25">
      <c r="A2" s="42"/>
      <c r="B2" s="2" t="s">
        <v>242</v>
      </c>
      <c r="C2" s="479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</row>
    <row r="3" spans="1:24" ht="15" customHeight="1" x14ac:dyDescent="0.25">
      <c r="A3" s="43"/>
      <c r="B3" s="2" t="s">
        <v>214</v>
      </c>
      <c r="C3" s="479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</row>
    <row r="4" spans="1:24" s="3" customFormat="1" ht="30" customHeight="1" x14ac:dyDescent="0.25">
      <c r="A4" s="474" t="s">
        <v>0</v>
      </c>
      <c r="B4" s="48" t="s">
        <v>1</v>
      </c>
      <c r="C4" s="474"/>
      <c r="D4" s="474"/>
      <c r="E4" s="474"/>
      <c r="F4" s="474"/>
      <c r="G4" s="474"/>
      <c r="H4" s="474"/>
      <c r="I4" s="477" t="s">
        <v>26</v>
      </c>
      <c r="J4" s="478"/>
      <c r="K4" s="474" t="s">
        <v>11</v>
      </c>
      <c r="L4" s="474"/>
      <c r="M4" s="474" t="s">
        <v>14</v>
      </c>
      <c r="N4" s="474"/>
      <c r="O4" s="474" t="s">
        <v>17</v>
      </c>
      <c r="P4" s="474"/>
      <c r="Q4" s="474"/>
      <c r="R4" s="474" t="s">
        <v>24</v>
      </c>
      <c r="S4" s="475" t="s">
        <v>25</v>
      </c>
      <c r="T4" s="475"/>
      <c r="U4" s="475"/>
      <c r="V4" s="475"/>
      <c r="W4" s="27" t="s">
        <v>27</v>
      </c>
      <c r="X4" s="476" t="s">
        <v>236</v>
      </c>
    </row>
    <row r="5" spans="1:24" s="3" customFormat="1" ht="60" x14ac:dyDescent="0.25">
      <c r="A5" s="474"/>
      <c r="B5" s="27" t="s">
        <v>221</v>
      </c>
      <c r="C5" s="27" t="s">
        <v>7</v>
      </c>
      <c r="D5" s="27" t="s">
        <v>49</v>
      </c>
      <c r="E5" s="27" t="s">
        <v>2</v>
      </c>
      <c r="F5" s="27" t="s">
        <v>3</v>
      </c>
      <c r="G5" s="28" t="s">
        <v>4</v>
      </c>
      <c r="H5" s="27" t="s">
        <v>47</v>
      </c>
      <c r="I5" s="27" t="s">
        <v>235</v>
      </c>
      <c r="J5" s="27" t="s">
        <v>5</v>
      </c>
      <c r="K5" s="27" t="s">
        <v>12</v>
      </c>
      <c r="L5" s="27" t="s">
        <v>13</v>
      </c>
      <c r="M5" s="27" t="s">
        <v>15</v>
      </c>
      <c r="N5" s="27" t="s">
        <v>16</v>
      </c>
      <c r="O5" s="27" t="s">
        <v>20</v>
      </c>
      <c r="P5" s="27" t="s">
        <v>18</v>
      </c>
      <c r="Q5" s="27" t="s">
        <v>19</v>
      </c>
      <c r="R5" s="474"/>
      <c r="S5" s="28" t="s">
        <v>21</v>
      </c>
      <c r="T5" s="28" t="s">
        <v>22</v>
      </c>
      <c r="U5" s="28" t="s">
        <v>23</v>
      </c>
      <c r="V5" s="28" t="s">
        <v>44</v>
      </c>
      <c r="W5" s="27" t="s">
        <v>28</v>
      </c>
      <c r="X5" s="476"/>
    </row>
    <row r="6" spans="1:24" ht="15" hidden="1" customHeight="1" x14ac:dyDescent="0.25">
      <c r="A6" s="49"/>
      <c r="B6" s="50"/>
      <c r="C6" s="50" t="s">
        <v>173</v>
      </c>
      <c r="D6" s="50" t="s">
        <v>188</v>
      </c>
      <c r="E6" s="51"/>
      <c r="F6" s="52"/>
      <c r="G6" s="53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3"/>
      <c r="T6" s="53"/>
      <c r="U6" s="53"/>
      <c r="V6" s="53"/>
      <c r="W6" s="50"/>
      <c r="X6" s="53"/>
    </row>
    <row r="7" spans="1:24" hidden="1" x14ac:dyDescent="0.25">
      <c r="A7" s="49"/>
      <c r="B7" s="50"/>
      <c r="C7" s="50"/>
      <c r="D7" s="50"/>
      <c r="E7" s="51"/>
      <c r="F7" s="52"/>
      <c r="G7" s="53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0"/>
      <c r="X7" s="53"/>
    </row>
    <row r="8" spans="1:24" hidden="1" x14ac:dyDescent="0.25">
      <c r="A8" s="49"/>
      <c r="B8" s="50"/>
      <c r="C8" s="50"/>
      <c r="D8" s="50"/>
      <c r="E8" s="51"/>
      <c r="F8" s="52"/>
      <c r="G8" s="53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0"/>
      <c r="X8" s="53"/>
    </row>
    <row r="9" spans="1:24" hidden="1" x14ac:dyDescent="0.25">
      <c r="A9" s="49"/>
      <c r="B9" s="50"/>
      <c r="C9" s="50"/>
      <c r="D9" s="50"/>
      <c r="E9" s="51"/>
      <c r="F9" s="52"/>
      <c r="G9" s="53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3"/>
      <c r="T9" s="53"/>
      <c r="U9" s="53"/>
      <c r="V9" s="53"/>
      <c r="W9" s="50"/>
      <c r="X9" s="53"/>
    </row>
    <row r="10" spans="1:24" hidden="1" x14ac:dyDescent="0.25">
      <c r="A10" s="49"/>
      <c r="B10" s="50"/>
      <c r="C10" s="50"/>
      <c r="D10" s="50"/>
      <c r="E10" s="51"/>
      <c r="F10" s="52"/>
      <c r="G10" s="53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3"/>
      <c r="T10" s="53"/>
      <c r="U10" s="53"/>
      <c r="V10" s="53"/>
      <c r="W10" s="50"/>
      <c r="X10" s="53"/>
    </row>
    <row r="11" spans="1:24" hidden="1" x14ac:dyDescent="0.25">
      <c r="A11" s="49"/>
      <c r="B11" s="50"/>
      <c r="C11" s="50"/>
      <c r="D11" s="50"/>
      <c r="E11" s="51"/>
      <c r="F11" s="52"/>
      <c r="G11" s="53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3"/>
      <c r="T11" s="53"/>
      <c r="U11" s="53"/>
      <c r="V11" s="53"/>
      <c r="W11" s="50"/>
      <c r="X11" s="53"/>
    </row>
    <row r="12" spans="1:24" hidden="1" x14ac:dyDescent="0.25">
      <c r="A12" s="61"/>
      <c r="B12" s="62"/>
      <c r="C12" s="62"/>
      <c r="D12" s="62"/>
      <c r="E12" s="63"/>
      <c r="F12" s="64"/>
      <c r="G12" s="65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5"/>
      <c r="T12" s="65"/>
      <c r="U12" s="65"/>
      <c r="V12" s="65"/>
      <c r="W12" s="62"/>
      <c r="X12" s="65"/>
    </row>
    <row r="13" spans="1:24" s="2" customFormat="1" ht="108.75" customHeight="1" x14ac:dyDescent="0.25">
      <c r="A13" s="66"/>
      <c r="B13" s="66" t="s">
        <v>243</v>
      </c>
      <c r="C13" s="66" t="s">
        <v>173</v>
      </c>
      <c r="D13" s="50" t="s">
        <v>188</v>
      </c>
      <c r="E13" s="67" t="s">
        <v>244</v>
      </c>
      <c r="F13" s="107" t="s">
        <v>547</v>
      </c>
      <c r="G13" s="112" t="s">
        <v>549</v>
      </c>
      <c r="H13" s="113" t="s">
        <v>575</v>
      </c>
      <c r="I13" s="107" t="s">
        <v>564</v>
      </c>
      <c r="J13" s="108" t="s">
        <v>191</v>
      </c>
      <c r="K13" s="107" t="s">
        <v>193</v>
      </c>
      <c r="L13" s="107" t="s">
        <v>563</v>
      </c>
      <c r="M13" s="107">
        <v>42000</v>
      </c>
      <c r="N13" s="66">
        <v>223000</v>
      </c>
      <c r="O13" s="66" t="s">
        <v>212</v>
      </c>
      <c r="P13" s="66">
        <v>2016</v>
      </c>
      <c r="Q13" s="66">
        <v>2018</v>
      </c>
      <c r="R13" s="66">
        <v>60000</v>
      </c>
      <c r="S13" s="66">
        <v>60000</v>
      </c>
      <c r="T13" s="68"/>
      <c r="U13" s="68"/>
      <c r="V13" s="68" t="s">
        <v>327</v>
      </c>
      <c r="W13" s="66" t="s">
        <v>247</v>
      </c>
      <c r="X13" s="69">
        <v>60000</v>
      </c>
    </row>
    <row r="14" spans="1:24" s="2" customFormat="1" ht="132" x14ac:dyDescent="0.25">
      <c r="A14" s="66"/>
      <c r="B14" s="66" t="s">
        <v>243</v>
      </c>
      <c r="C14" s="66" t="s">
        <v>173</v>
      </c>
      <c r="D14" s="50" t="s">
        <v>188</v>
      </c>
      <c r="E14" s="67" t="s">
        <v>245</v>
      </c>
      <c r="F14" s="52" t="s">
        <v>547</v>
      </c>
      <c r="G14" s="68" t="s">
        <v>562</v>
      </c>
      <c r="H14" s="67" t="s">
        <v>568</v>
      </c>
      <c r="I14" s="50" t="s">
        <v>564</v>
      </c>
      <c r="J14" s="67" t="s">
        <v>191</v>
      </c>
      <c r="K14" s="50" t="s">
        <v>193</v>
      </c>
      <c r="L14" s="50" t="s">
        <v>563</v>
      </c>
      <c r="M14" s="50">
        <v>42000</v>
      </c>
      <c r="N14" s="66">
        <v>223000</v>
      </c>
      <c r="O14" s="66" t="s">
        <v>212</v>
      </c>
      <c r="P14" s="66">
        <v>2016</v>
      </c>
      <c r="Q14" s="66">
        <v>2018</v>
      </c>
      <c r="R14" s="66">
        <v>60000</v>
      </c>
      <c r="S14" s="66">
        <v>60000</v>
      </c>
      <c r="T14" s="68"/>
      <c r="U14" s="68"/>
      <c r="V14" s="68" t="s">
        <v>327</v>
      </c>
      <c r="W14" s="66" t="s">
        <v>247</v>
      </c>
      <c r="X14" s="69">
        <v>60000</v>
      </c>
    </row>
    <row r="15" spans="1:24" s="2" customFormat="1" ht="15.75" x14ac:dyDescent="0.25">
      <c r="A15" s="66"/>
      <c r="B15" s="66"/>
      <c r="C15" s="66"/>
      <c r="D15" s="50"/>
      <c r="E15" s="67"/>
      <c r="F15" s="66"/>
      <c r="G15" s="68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8"/>
      <c r="T15" s="68"/>
      <c r="U15" s="68"/>
      <c r="V15" s="68"/>
      <c r="W15" s="66"/>
      <c r="X15" s="70">
        <f>SUM(X13:X14)</f>
        <v>120000</v>
      </c>
    </row>
  </sheetData>
  <autoFilter ref="A5:G12"/>
  <mergeCells count="11">
    <mergeCell ref="A1:B1"/>
    <mergeCell ref="C1:X3"/>
    <mergeCell ref="A4:A5"/>
    <mergeCell ref="C4:H4"/>
    <mergeCell ref="I4:J4"/>
    <mergeCell ref="K4:L4"/>
    <mergeCell ref="M4:N4"/>
    <mergeCell ref="O4:Q4"/>
    <mergeCell ref="R4:R5"/>
    <mergeCell ref="S4:V4"/>
    <mergeCell ref="X4:X5"/>
  </mergeCells>
  <dataValidations count="1">
    <dataValidation type="list" allowBlank="1" showInputMessage="1" showErrorMessage="1" error="LUEGO DE SELECCIONAR EL COMPONENTE, ESCOJA EL OBJETIVO ESPECIFICO DEL PDOT AL QUE SE ARTICULA SU PROYECTO" prompt="LUEGO DE SELECCIONAR EL COMPONENTE, ESCOJA EL OBJETIVO ESPECIFICO DEL PDOT AL QUE SE ARTICULA SU PROYECTO" sqref="D6:D15">
      <formula1>INDIRECT(C6)</formula1>
    </dataValidation>
  </dataValidations>
  <pageMargins left="0.11811023622047245" right="0.11811023622047245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SELECCIONE DIRECCIÓN / EMPRESA">
          <x14:formula1>
            <xm:f>'DATOS 1'!$C$3:$C$35</xm:f>
          </x14:formula1>
          <xm:sqref>B6:B12</xm:sqref>
        </x14:dataValidation>
        <x14:dataValidation type="list" allowBlank="1" showInputMessage="1" showErrorMessage="1" error="SELECCIONE EL COMPONENTE DEL PDOT AL QUE SE ARTICULA ESTE PROYECTO" prompt="SELECCIONE EL COMPONENTE DEL PDOT AL QUE SE ARTICULA ESTE PROYECTO">
          <x14:formula1>
            <xm:f>'DATOS 1'!$E$24:$E$28</xm:f>
          </x14:formula1>
          <xm:sqref>C6:C12</xm:sqref>
        </x14:dataValidation>
        <x14:dataValidation type="list" allowBlank="1" showInputMessage="1" showErrorMessage="1" prompt="ESCOJA EL TIPO DE CONTRATACIÓN POR CADA ACTIVIDAD DEL PROYECTO">
          <x14:formula1>
            <xm:f>'DATOS 1'!$G$3:$G$6</xm:f>
          </x14:formula1>
          <xm:sqref>J6:J14</xm:sqref>
        </x14:dataValidation>
        <x14:dataValidation type="list" allowBlank="1" showInputMessage="1" showErrorMessage="1" error="SELECCIONE LA LOCALIZACIÓN DEL PROYECTO" prompt="SELECCIONE LA LOCALIZACIÓN DEL PROYECTO">
          <x14:formula1>
            <xm:f>'DATOS 1'!$I$3:$I$20</xm:f>
          </x14:formula1>
          <xm:sqref>K6:K14</xm:sqref>
        </x14:dataValidation>
        <x14:dataValidation type="list" allowBlank="1" showInputMessage="1" showErrorMessage="1" error="SELECCIONE SI SU PROYECTO ES DE TIPO ANUAL O PLURIANUAL" prompt="SELECCIONE SI SU PROYECTO ES DE TIPO ANUAL O PLURIANUAL">
          <x14:formula1>
            <xm:f>'DATOS 1'!$M$3:$M$4</xm:f>
          </x14:formula1>
          <xm:sqref>O6:O12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"/>
  <sheetViews>
    <sheetView topLeftCell="C1" zoomScale="50" zoomScaleNormal="50" workbookViewId="0">
      <selection activeCell="C1" sqref="C1:Y3"/>
    </sheetView>
  </sheetViews>
  <sheetFormatPr baseColWidth="10" defaultColWidth="11.42578125" defaultRowHeight="15" x14ac:dyDescent="0.25"/>
  <cols>
    <col min="1" max="1" width="4.28515625" style="54" bestFit="1" customWidth="1"/>
    <col min="2" max="2" width="50" style="55" bestFit="1" customWidth="1"/>
    <col min="3" max="5" width="30" style="55" customWidth="1"/>
    <col min="6" max="6" width="55" style="56" customWidth="1"/>
    <col min="7" max="7" width="30.5703125" style="54" bestFit="1" customWidth="1"/>
    <col min="8" max="8" width="18.5703125" style="57" customWidth="1"/>
    <col min="9" max="9" width="11.42578125" style="54"/>
    <col min="10" max="10" width="16.28515625" style="54" bestFit="1" customWidth="1"/>
    <col min="11" max="11" width="15.5703125" style="54" customWidth="1"/>
    <col min="12" max="13" width="11.42578125" style="54"/>
    <col min="14" max="14" width="13.85546875" style="54" bestFit="1" customWidth="1"/>
    <col min="15" max="15" width="14" style="54" customWidth="1"/>
    <col min="16" max="16" width="17" style="54" customWidth="1"/>
    <col min="17" max="18" width="8.7109375" style="54" customWidth="1"/>
    <col min="19" max="19" width="11.42578125" style="54"/>
    <col min="20" max="20" width="16.5703125" style="57" customWidth="1"/>
    <col min="21" max="23" width="16.42578125" style="57" customWidth="1"/>
    <col min="24" max="24" width="15" style="54" customWidth="1"/>
    <col min="25" max="25" width="11.42578125" style="57" customWidth="1"/>
    <col min="26" max="26" width="11.42578125" style="54"/>
    <col min="27" max="16384" width="11.42578125" style="1"/>
  </cols>
  <sheetData>
    <row r="1" spans="1:41" ht="30" customHeight="1" x14ac:dyDescent="0.25">
      <c r="A1" s="472" t="s">
        <v>213</v>
      </c>
      <c r="B1" s="472"/>
      <c r="C1" s="479" t="s">
        <v>240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15" customHeight="1" x14ac:dyDescent="0.25">
      <c r="A2" s="42"/>
      <c r="B2" s="2" t="s">
        <v>242</v>
      </c>
      <c r="C2" s="479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15" customHeight="1" x14ac:dyDescent="0.25">
      <c r="A3" s="43"/>
      <c r="B3" s="2" t="s">
        <v>214</v>
      </c>
      <c r="C3" s="479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s="3" customFormat="1" ht="30" customHeight="1" x14ac:dyDescent="0.25">
      <c r="A4" s="474" t="s">
        <v>0</v>
      </c>
      <c r="B4" s="48" t="s">
        <v>1</v>
      </c>
      <c r="C4" s="474"/>
      <c r="D4" s="474"/>
      <c r="E4" s="474"/>
      <c r="F4" s="474"/>
      <c r="G4" s="474"/>
      <c r="H4" s="474"/>
      <c r="I4" s="474"/>
      <c r="J4" s="477" t="s">
        <v>26</v>
      </c>
      <c r="K4" s="478"/>
      <c r="L4" s="474" t="s">
        <v>11</v>
      </c>
      <c r="M4" s="474"/>
      <c r="N4" s="474" t="s">
        <v>14</v>
      </c>
      <c r="O4" s="474"/>
      <c r="P4" s="474" t="s">
        <v>17</v>
      </c>
      <c r="Q4" s="474"/>
      <c r="R4" s="474"/>
      <c r="S4" s="481" t="s">
        <v>24</v>
      </c>
      <c r="T4" s="475" t="s">
        <v>25</v>
      </c>
      <c r="U4" s="475"/>
      <c r="V4" s="475"/>
      <c r="W4" s="475"/>
      <c r="X4" s="27" t="s">
        <v>27</v>
      </c>
      <c r="Y4" s="483" t="s">
        <v>236</v>
      </c>
    </row>
    <row r="5" spans="1:41" s="3" customFormat="1" ht="45" x14ac:dyDescent="0.25">
      <c r="A5" s="474"/>
      <c r="B5" s="27" t="s">
        <v>221</v>
      </c>
      <c r="C5" s="27" t="s">
        <v>7</v>
      </c>
      <c r="D5" s="27" t="s">
        <v>49</v>
      </c>
      <c r="E5" s="27" t="s">
        <v>237</v>
      </c>
      <c r="F5" s="27" t="s">
        <v>2</v>
      </c>
      <c r="G5" s="27" t="s">
        <v>3</v>
      </c>
      <c r="H5" s="28" t="s">
        <v>4</v>
      </c>
      <c r="I5" s="27" t="s">
        <v>47</v>
      </c>
      <c r="J5" s="27" t="s">
        <v>235</v>
      </c>
      <c r="K5" s="27" t="s">
        <v>5</v>
      </c>
      <c r="L5" s="27" t="s">
        <v>12</v>
      </c>
      <c r="M5" s="27" t="s">
        <v>13</v>
      </c>
      <c r="N5" s="27" t="s">
        <v>15</v>
      </c>
      <c r="O5" s="27" t="s">
        <v>16</v>
      </c>
      <c r="P5" s="27" t="s">
        <v>20</v>
      </c>
      <c r="Q5" s="27" t="s">
        <v>18</v>
      </c>
      <c r="R5" s="27" t="s">
        <v>19</v>
      </c>
      <c r="S5" s="482"/>
      <c r="T5" s="28" t="s">
        <v>21</v>
      </c>
      <c r="U5" s="28" t="s">
        <v>22</v>
      </c>
      <c r="V5" s="28" t="s">
        <v>23</v>
      </c>
      <c r="W5" s="28" t="s">
        <v>44</v>
      </c>
      <c r="X5" s="27" t="s">
        <v>28</v>
      </c>
      <c r="Y5" s="484"/>
    </row>
    <row r="6" spans="1:41" ht="15" customHeight="1" x14ac:dyDescent="0.25">
      <c r="A6" s="49"/>
      <c r="B6" s="50"/>
      <c r="C6" s="50"/>
      <c r="D6" s="50"/>
      <c r="E6" s="50"/>
      <c r="F6" s="51"/>
      <c r="G6" s="52"/>
      <c r="H6" s="53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3"/>
      <c r="U6" s="53"/>
      <c r="V6" s="53"/>
      <c r="W6" s="53"/>
      <c r="X6" s="50"/>
      <c r="Y6" s="53"/>
    </row>
    <row r="7" spans="1:41" x14ac:dyDescent="0.25">
      <c r="A7" s="49"/>
      <c r="B7" s="50"/>
      <c r="C7" s="50"/>
      <c r="D7" s="50"/>
      <c r="E7" s="50"/>
      <c r="F7" s="51"/>
      <c r="G7" s="52"/>
      <c r="H7" s="53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3"/>
      <c r="U7" s="53"/>
      <c r="V7" s="53"/>
      <c r="W7" s="53"/>
      <c r="X7" s="50"/>
      <c r="Y7" s="53"/>
    </row>
    <row r="8" spans="1:41" x14ac:dyDescent="0.25">
      <c r="A8" s="49"/>
      <c r="B8" s="50"/>
      <c r="C8" s="50"/>
      <c r="D8" s="50"/>
      <c r="E8" s="50"/>
      <c r="F8" s="51"/>
      <c r="G8" s="52"/>
      <c r="H8" s="53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3"/>
      <c r="U8" s="53"/>
      <c r="V8" s="53"/>
      <c r="W8" s="53"/>
      <c r="X8" s="50"/>
      <c r="Y8" s="53"/>
    </row>
    <row r="9" spans="1:41" x14ac:dyDescent="0.25">
      <c r="A9" s="49"/>
      <c r="B9" s="50"/>
      <c r="C9" s="50"/>
      <c r="D9" s="50"/>
      <c r="E9" s="50"/>
      <c r="F9" s="51"/>
      <c r="G9" s="52"/>
      <c r="H9" s="53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3"/>
      <c r="U9" s="53"/>
      <c r="V9" s="53"/>
      <c r="W9" s="53"/>
      <c r="X9" s="50"/>
      <c r="Y9" s="53"/>
    </row>
    <row r="10" spans="1:41" x14ac:dyDescent="0.25">
      <c r="A10" s="49"/>
      <c r="B10" s="50"/>
      <c r="C10" s="50"/>
      <c r="D10" s="50"/>
      <c r="E10" s="50"/>
      <c r="F10" s="51"/>
      <c r="G10" s="52"/>
      <c r="H10" s="53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3"/>
      <c r="U10" s="53"/>
      <c r="V10" s="53"/>
      <c r="W10" s="53"/>
      <c r="X10" s="50"/>
      <c r="Y10" s="53"/>
    </row>
    <row r="11" spans="1:41" x14ac:dyDescent="0.25">
      <c r="A11" s="49"/>
      <c r="B11" s="50"/>
      <c r="C11" s="50"/>
      <c r="D11" s="50"/>
      <c r="E11" s="50"/>
      <c r="F11" s="51"/>
      <c r="G11" s="52"/>
      <c r="H11" s="53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3"/>
      <c r="U11" s="53"/>
      <c r="V11" s="53"/>
      <c r="W11" s="53"/>
      <c r="X11" s="50"/>
      <c r="Y11" s="53"/>
    </row>
    <row r="12" spans="1:41" x14ac:dyDescent="0.25">
      <c r="A12" s="49"/>
      <c r="B12" s="50"/>
      <c r="C12" s="50"/>
      <c r="D12" s="50"/>
      <c r="E12" s="50"/>
      <c r="F12" s="51"/>
      <c r="G12" s="52"/>
      <c r="H12" s="53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3"/>
      <c r="U12" s="53"/>
      <c r="V12" s="53"/>
      <c r="W12" s="53"/>
      <c r="X12" s="50"/>
      <c r="Y12" s="53"/>
    </row>
  </sheetData>
  <autoFilter ref="A5:H12"/>
  <mergeCells count="11">
    <mergeCell ref="A1:B1"/>
    <mergeCell ref="C1:Y3"/>
    <mergeCell ref="A4:A5"/>
    <mergeCell ref="C4:I4"/>
    <mergeCell ref="J4:K4"/>
    <mergeCell ref="L4:M4"/>
    <mergeCell ref="N4:O4"/>
    <mergeCell ref="P4:R4"/>
    <mergeCell ref="S4:S5"/>
    <mergeCell ref="T4:W4"/>
    <mergeCell ref="Y4:Y5"/>
  </mergeCells>
  <dataValidations count="1">
    <dataValidation type="list" allowBlank="1" showInputMessage="1" showErrorMessage="1" error="LUEGO DE SELECCIONAR EL COMPONENTE, ESCOJA EL OBJETIVO ESPECIFICO DEL PDOT AL QUE SE ARTICULA SU PROYECTO" prompt="LUEGO DE SELECCIONAR EL COMPONENTE, ESCOJA EL OBJETIVO ESPECIFICO DEL PDOT AL QUE SE ARTICULA SU PROYECTO" sqref="D6:E12">
      <formula1>INDIRECT(C6)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SELECCIONE SI SU PROYECTO ES DE TIPO ANUAL O PLURIANUAL" prompt="SELECCIONE SI SU PROYECTO ES DE TIPO ANUAL O PLURIANUAL">
          <x14:formula1>
            <xm:f>'DATOS 1'!$M$3:$M$4</xm:f>
          </x14:formula1>
          <xm:sqref>P6:P12</xm:sqref>
        </x14:dataValidation>
        <x14:dataValidation type="list" allowBlank="1" showInputMessage="1" showErrorMessage="1" error="SELECCIONE LA LOCALIZACIÓN DEL PROYECTO" prompt="SELECCIONE LA LOCALIZACIÓN DEL PROYECTO">
          <x14:formula1>
            <xm:f>'DATOS 1'!$I$3:$I$20</xm:f>
          </x14:formula1>
          <xm:sqref>L6:L12</xm:sqref>
        </x14:dataValidation>
        <x14:dataValidation type="list" allowBlank="1" showInputMessage="1" showErrorMessage="1" prompt="ESCOJA EL TIPO DE CONTRATACIÓN POR CADA ACTIVIDAD DEL PROYECTO">
          <x14:formula1>
            <xm:f>'DATOS 1'!$G$3:$G$6</xm:f>
          </x14:formula1>
          <xm:sqref>K6:K12</xm:sqref>
        </x14:dataValidation>
        <x14:dataValidation type="list" allowBlank="1" showInputMessage="1" showErrorMessage="1" error="SELECCIONE EL COMPONENTE DEL PDOT AL QUE SE ARTICULA ESTE PROYECTO" prompt="SELECCIONE EL COMPONENTE DEL PDOT AL QUE SE ARTICULA ESTE PROYECTO">
          <x14:formula1>
            <xm:f>'DATOS 1'!$E$24:$E$28</xm:f>
          </x14:formula1>
          <xm:sqref>C6:C12</xm:sqref>
        </x14:dataValidation>
        <x14:dataValidation type="list" allowBlank="1" showInputMessage="1" showErrorMessage="1" prompt="SELECCIONE DIRECCIÓN / EMPRESA">
          <x14:formula1>
            <xm:f>'DATOS 1'!$C$3:$C$35</xm:f>
          </x14:formula1>
          <xm:sqref>B6:B12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zoomScale="70" zoomScaleNormal="70" workbookViewId="0">
      <selection activeCell="D6" sqref="D6:D13"/>
    </sheetView>
  </sheetViews>
  <sheetFormatPr baseColWidth="10" defaultColWidth="11.42578125" defaultRowHeight="15" x14ac:dyDescent="0.25"/>
  <cols>
    <col min="1" max="1" width="4.28515625" style="54" bestFit="1" customWidth="1"/>
    <col min="2" max="2" width="27" style="55" customWidth="1"/>
    <col min="3" max="3" width="20.140625" style="55" customWidth="1"/>
    <col min="4" max="4" width="30" style="55" customWidth="1"/>
    <col min="5" max="5" width="55" style="56" customWidth="1"/>
    <col min="6" max="6" width="30.5703125" style="54" bestFit="1" customWidth="1"/>
    <col min="7" max="7" width="18.5703125" style="57" customWidth="1"/>
    <col min="8" max="8" width="11.42578125" style="54"/>
    <col min="9" max="9" width="16.28515625" style="54" bestFit="1" customWidth="1"/>
    <col min="10" max="10" width="17.7109375" style="54" bestFit="1" customWidth="1"/>
    <col min="11" max="11" width="13.85546875" style="54" bestFit="1" customWidth="1"/>
    <col min="12" max="12" width="11.42578125" style="54"/>
    <col min="13" max="13" width="17.140625" style="54" bestFit="1" customWidth="1"/>
    <col min="14" max="14" width="14" style="54" customWidth="1"/>
    <col min="15" max="15" width="17" style="54" customWidth="1"/>
    <col min="16" max="17" width="8.7109375" style="54" customWidth="1"/>
    <col min="18" max="18" width="11.42578125" style="54"/>
    <col min="19" max="19" width="16.5703125" style="57" customWidth="1"/>
    <col min="20" max="22" width="16.42578125" style="57" customWidth="1"/>
    <col min="23" max="23" width="15" style="54" customWidth="1"/>
    <col min="24" max="24" width="11.42578125" style="57" customWidth="1"/>
    <col min="25" max="25" width="11.42578125" style="54"/>
    <col min="26" max="16384" width="11.42578125" style="1"/>
  </cols>
  <sheetData>
    <row r="1" spans="1:41" ht="30" customHeight="1" x14ac:dyDescent="0.25">
      <c r="A1" s="472" t="s">
        <v>213</v>
      </c>
      <c r="B1" s="472"/>
      <c r="C1" s="479" t="s">
        <v>241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15" customHeight="1" x14ac:dyDescent="0.25">
      <c r="A2" s="42"/>
      <c r="B2" s="2" t="s">
        <v>242</v>
      </c>
      <c r="C2" s="479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15" customHeight="1" x14ac:dyDescent="0.25">
      <c r="A3" s="43"/>
      <c r="B3" s="2" t="s">
        <v>243</v>
      </c>
      <c r="C3" s="479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s="3" customFormat="1" ht="30" customHeight="1" x14ac:dyDescent="0.25">
      <c r="A4" s="474" t="s">
        <v>0</v>
      </c>
      <c r="B4" s="48" t="s">
        <v>1</v>
      </c>
      <c r="C4" s="474"/>
      <c r="D4" s="474"/>
      <c r="E4" s="474"/>
      <c r="F4" s="474"/>
      <c r="G4" s="474"/>
      <c r="H4" s="474"/>
      <c r="I4" s="477" t="s">
        <v>26</v>
      </c>
      <c r="J4" s="478"/>
      <c r="K4" s="474" t="s">
        <v>11</v>
      </c>
      <c r="L4" s="474"/>
      <c r="M4" s="474" t="s">
        <v>14</v>
      </c>
      <c r="N4" s="474"/>
      <c r="O4" s="474" t="s">
        <v>17</v>
      </c>
      <c r="P4" s="474"/>
      <c r="Q4" s="474"/>
      <c r="R4" s="474" t="s">
        <v>24</v>
      </c>
      <c r="S4" s="475" t="s">
        <v>25</v>
      </c>
      <c r="T4" s="475"/>
      <c r="U4" s="475"/>
      <c r="V4" s="475"/>
      <c r="W4" s="27" t="s">
        <v>27</v>
      </c>
      <c r="X4" s="476" t="s">
        <v>236</v>
      </c>
    </row>
    <row r="5" spans="1:41" s="3" customFormat="1" ht="45" x14ac:dyDescent="0.25">
      <c r="A5" s="474"/>
      <c r="B5" s="27" t="s">
        <v>221</v>
      </c>
      <c r="C5" s="27" t="s">
        <v>7</v>
      </c>
      <c r="D5" s="27" t="s">
        <v>49</v>
      </c>
      <c r="E5" s="27" t="s">
        <v>2</v>
      </c>
      <c r="F5" s="27" t="s">
        <v>3</v>
      </c>
      <c r="G5" s="28" t="s">
        <v>4</v>
      </c>
      <c r="H5" s="27" t="s">
        <v>47</v>
      </c>
      <c r="I5" s="27" t="s">
        <v>235</v>
      </c>
      <c r="J5" s="27" t="s">
        <v>5</v>
      </c>
      <c r="K5" s="27" t="s">
        <v>12</v>
      </c>
      <c r="L5" s="27" t="s">
        <v>13</v>
      </c>
      <c r="M5" s="27" t="s">
        <v>15</v>
      </c>
      <c r="N5" s="27" t="s">
        <v>16</v>
      </c>
      <c r="O5" s="27" t="s">
        <v>20</v>
      </c>
      <c r="P5" s="27" t="s">
        <v>18</v>
      </c>
      <c r="Q5" s="27" t="s">
        <v>19</v>
      </c>
      <c r="R5" s="474"/>
      <c r="S5" s="28" t="s">
        <v>21</v>
      </c>
      <c r="T5" s="28" t="s">
        <v>22</v>
      </c>
      <c r="U5" s="28" t="s">
        <v>23</v>
      </c>
      <c r="V5" s="28" t="s">
        <v>44</v>
      </c>
      <c r="W5" s="27" t="s">
        <v>28</v>
      </c>
      <c r="X5" s="476"/>
    </row>
    <row r="6" spans="1:41" ht="72" x14ac:dyDescent="0.25">
      <c r="A6" s="67">
        <v>1</v>
      </c>
      <c r="B6" s="471" t="s">
        <v>243</v>
      </c>
      <c r="C6" s="471" t="s">
        <v>173</v>
      </c>
      <c r="D6" s="471" t="s">
        <v>188</v>
      </c>
      <c r="E6" s="67" t="s">
        <v>539</v>
      </c>
      <c r="F6" s="485" t="s">
        <v>547</v>
      </c>
      <c r="G6" s="53" t="s">
        <v>548</v>
      </c>
      <c r="H6" s="51" t="s">
        <v>578</v>
      </c>
      <c r="I6" s="50" t="s">
        <v>564</v>
      </c>
      <c r="J6" s="51" t="s">
        <v>191</v>
      </c>
      <c r="K6" s="50" t="s">
        <v>193</v>
      </c>
      <c r="L6" s="50" t="s">
        <v>563</v>
      </c>
      <c r="M6" s="50">
        <v>42000</v>
      </c>
      <c r="N6" s="50">
        <v>223000</v>
      </c>
      <c r="O6" s="50" t="s">
        <v>212</v>
      </c>
      <c r="P6" s="50">
        <v>2016</v>
      </c>
      <c r="Q6" s="50">
        <v>2018</v>
      </c>
      <c r="R6" s="53">
        <v>150000</v>
      </c>
      <c r="S6" s="53">
        <v>150000</v>
      </c>
      <c r="T6" s="68"/>
      <c r="U6" s="68"/>
      <c r="V6" s="53" t="s">
        <v>327</v>
      </c>
      <c r="W6" s="50" t="s">
        <v>246</v>
      </c>
      <c r="X6" s="53">
        <v>150000</v>
      </c>
    </row>
    <row r="7" spans="1:41" ht="48" x14ac:dyDescent="0.25">
      <c r="A7" s="67">
        <v>2</v>
      </c>
      <c r="B7" s="471"/>
      <c r="C7" s="471"/>
      <c r="D7" s="471"/>
      <c r="E7" s="108" t="s">
        <v>540</v>
      </c>
      <c r="F7" s="485"/>
      <c r="G7" s="112" t="s">
        <v>549</v>
      </c>
      <c r="H7" s="113" t="s">
        <v>574</v>
      </c>
      <c r="I7" s="107" t="s">
        <v>564</v>
      </c>
      <c r="J7" s="113" t="s">
        <v>191</v>
      </c>
      <c r="K7" s="107" t="s">
        <v>193</v>
      </c>
      <c r="L7" s="107" t="s">
        <v>563</v>
      </c>
      <c r="M7" s="107">
        <v>42000</v>
      </c>
      <c r="N7" s="107">
        <v>223000</v>
      </c>
      <c r="O7" s="50" t="s">
        <v>212</v>
      </c>
      <c r="P7" s="50">
        <v>2016</v>
      </c>
      <c r="Q7" s="66">
        <v>2018</v>
      </c>
      <c r="R7" s="111">
        <v>40000</v>
      </c>
      <c r="S7" s="111">
        <v>40000</v>
      </c>
      <c r="T7" s="68"/>
      <c r="U7" s="68"/>
      <c r="V7" s="68" t="s">
        <v>327</v>
      </c>
      <c r="W7" s="66" t="s">
        <v>246</v>
      </c>
      <c r="X7" s="111">
        <v>40000</v>
      </c>
    </row>
    <row r="8" spans="1:41" ht="48" x14ac:dyDescent="0.25">
      <c r="A8" s="67">
        <v>3</v>
      </c>
      <c r="B8" s="471"/>
      <c r="C8" s="471"/>
      <c r="D8" s="471"/>
      <c r="E8" s="108" t="s">
        <v>541</v>
      </c>
      <c r="F8" s="485"/>
      <c r="G8" s="112" t="s">
        <v>550</v>
      </c>
      <c r="H8" s="113" t="s">
        <v>573</v>
      </c>
      <c r="I8" s="107" t="s">
        <v>564</v>
      </c>
      <c r="J8" s="113" t="s">
        <v>191</v>
      </c>
      <c r="K8" s="107" t="s">
        <v>193</v>
      </c>
      <c r="L8" s="107" t="s">
        <v>563</v>
      </c>
      <c r="M8" s="107">
        <v>42000</v>
      </c>
      <c r="N8" s="107">
        <v>223000</v>
      </c>
      <c r="O8" s="50" t="s">
        <v>212</v>
      </c>
      <c r="P8" s="50">
        <v>2016</v>
      </c>
      <c r="Q8" s="66">
        <v>2018</v>
      </c>
      <c r="R8" s="111">
        <v>10000</v>
      </c>
      <c r="S8" s="111">
        <v>10000</v>
      </c>
      <c r="T8" s="68"/>
      <c r="U8" s="68"/>
      <c r="V8" s="68" t="s">
        <v>327</v>
      </c>
      <c r="W8" s="66" t="s">
        <v>246</v>
      </c>
      <c r="X8" s="111">
        <v>10000</v>
      </c>
    </row>
    <row r="9" spans="1:41" ht="48" x14ac:dyDescent="0.25">
      <c r="A9" s="67">
        <v>4</v>
      </c>
      <c r="B9" s="471"/>
      <c r="C9" s="471"/>
      <c r="D9" s="471"/>
      <c r="E9" s="108" t="s">
        <v>542</v>
      </c>
      <c r="F9" s="485"/>
      <c r="G9" s="111" t="s">
        <v>557</v>
      </c>
      <c r="H9" s="108" t="s">
        <v>572</v>
      </c>
      <c r="I9" s="107" t="s">
        <v>564</v>
      </c>
      <c r="J9" s="108" t="s">
        <v>191</v>
      </c>
      <c r="K9" s="107" t="s">
        <v>193</v>
      </c>
      <c r="L9" s="107" t="s">
        <v>563</v>
      </c>
      <c r="M9" s="107">
        <v>42000</v>
      </c>
      <c r="N9" s="107">
        <v>223000</v>
      </c>
      <c r="O9" s="50" t="s">
        <v>212</v>
      </c>
      <c r="P9" s="50">
        <v>2016</v>
      </c>
      <c r="Q9" s="66">
        <v>2018</v>
      </c>
      <c r="R9" s="111">
        <v>166500</v>
      </c>
      <c r="S9" s="111">
        <v>166500</v>
      </c>
      <c r="T9" s="68"/>
      <c r="U9" s="68"/>
      <c r="V9" s="68" t="s">
        <v>327</v>
      </c>
      <c r="W9" s="66" t="s">
        <v>246</v>
      </c>
      <c r="X9" s="111">
        <v>166500</v>
      </c>
    </row>
    <row r="10" spans="1:41" ht="60" x14ac:dyDescent="0.25">
      <c r="A10" s="67">
        <v>5</v>
      </c>
      <c r="B10" s="471"/>
      <c r="C10" s="471"/>
      <c r="D10" s="471"/>
      <c r="E10" s="108" t="s">
        <v>543</v>
      </c>
      <c r="F10" s="485"/>
      <c r="G10" s="117" t="s">
        <v>558</v>
      </c>
      <c r="H10" s="116" t="s">
        <v>571</v>
      </c>
      <c r="I10" s="107" t="s">
        <v>564</v>
      </c>
      <c r="J10" s="108" t="s">
        <v>191</v>
      </c>
      <c r="K10" s="107" t="s">
        <v>193</v>
      </c>
      <c r="L10" s="107" t="s">
        <v>563</v>
      </c>
      <c r="M10" s="107">
        <v>42000</v>
      </c>
      <c r="N10" s="107">
        <v>223000</v>
      </c>
      <c r="O10" s="50" t="s">
        <v>212</v>
      </c>
      <c r="P10" s="50">
        <v>2016</v>
      </c>
      <c r="Q10" s="66">
        <v>2018</v>
      </c>
      <c r="R10" s="111">
        <v>100000</v>
      </c>
      <c r="S10" s="111">
        <v>100000</v>
      </c>
      <c r="T10" s="68"/>
      <c r="U10" s="68"/>
      <c r="V10" s="68" t="s">
        <v>327</v>
      </c>
      <c r="W10" s="66" t="s">
        <v>246</v>
      </c>
      <c r="X10" s="111">
        <v>100000</v>
      </c>
    </row>
    <row r="11" spans="1:41" ht="36" x14ac:dyDescent="0.25">
      <c r="A11" s="67">
        <v>6</v>
      </c>
      <c r="B11" s="471"/>
      <c r="C11" s="471"/>
      <c r="D11" s="471"/>
      <c r="E11" s="108" t="s">
        <v>576</v>
      </c>
      <c r="F11" s="485"/>
      <c r="G11" s="111" t="s">
        <v>559</v>
      </c>
      <c r="H11" s="108" t="s">
        <v>569</v>
      </c>
      <c r="I11" s="109" t="s">
        <v>565</v>
      </c>
      <c r="J11" s="108" t="s">
        <v>192</v>
      </c>
      <c r="K11" s="107" t="s">
        <v>193</v>
      </c>
      <c r="L11" s="107" t="s">
        <v>563</v>
      </c>
      <c r="M11" s="107">
        <v>42000</v>
      </c>
      <c r="N11" s="107">
        <v>223000</v>
      </c>
      <c r="O11" s="50" t="s">
        <v>212</v>
      </c>
      <c r="P11" s="50">
        <v>2016</v>
      </c>
      <c r="Q11" s="66">
        <v>2018</v>
      </c>
      <c r="R11" s="111">
        <v>100000</v>
      </c>
      <c r="S11" s="111">
        <v>100000</v>
      </c>
      <c r="T11" s="68"/>
      <c r="U11" s="68"/>
      <c r="V11" s="68" t="s">
        <v>327</v>
      </c>
      <c r="W11" s="66" t="s">
        <v>246</v>
      </c>
      <c r="X11" s="111">
        <v>100000</v>
      </c>
    </row>
    <row r="12" spans="1:41" ht="60" x14ac:dyDescent="0.25">
      <c r="A12" s="67">
        <v>7</v>
      </c>
      <c r="B12" s="471"/>
      <c r="C12" s="471"/>
      <c r="D12" s="471"/>
      <c r="E12" s="108" t="s">
        <v>577</v>
      </c>
      <c r="F12" s="485"/>
      <c r="G12" s="111" t="s">
        <v>560</v>
      </c>
      <c r="H12" s="108" t="s">
        <v>570</v>
      </c>
      <c r="I12" s="107" t="s">
        <v>564</v>
      </c>
      <c r="J12" s="108" t="s">
        <v>190</v>
      </c>
      <c r="K12" s="107" t="s">
        <v>193</v>
      </c>
      <c r="L12" s="107" t="s">
        <v>563</v>
      </c>
      <c r="M12" s="107">
        <v>42000</v>
      </c>
      <c r="N12" s="107">
        <v>223000</v>
      </c>
      <c r="O12" s="50" t="s">
        <v>212</v>
      </c>
      <c r="P12" s="50">
        <v>2016</v>
      </c>
      <c r="Q12" s="66">
        <v>2018</v>
      </c>
      <c r="R12" s="111">
        <v>300000</v>
      </c>
      <c r="S12" s="111">
        <v>300000</v>
      </c>
      <c r="T12" s="68"/>
      <c r="U12" s="68"/>
      <c r="V12" s="68" t="s">
        <v>327</v>
      </c>
      <c r="W12" s="66" t="s">
        <v>246</v>
      </c>
      <c r="X12" s="111">
        <v>300000</v>
      </c>
    </row>
    <row r="13" spans="1:41" ht="84" x14ac:dyDescent="0.25">
      <c r="A13" s="67">
        <v>8</v>
      </c>
      <c r="B13" s="471"/>
      <c r="C13" s="471"/>
      <c r="D13" s="471"/>
      <c r="E13" s="108" t="s">
        <v>544</v>
      </c>
      <c r="F13" s="485"/>
      <c r="G13" s="111" t="s">
        <v>561</v>
      </c>
      <c r="H13" s="108" t="s">
        <v>567</v>
      </c>
      <c r="I13" s="107" t="s">
        <v>564</v>
      </c>
      <c r="J13" s="108" t="s">
        <v>191</v>
      </c>
      <c r="K13" s="107" t="s">
        <v>193</v>
      </c>
      <c r="L13" s="107" t="s">
        <v>563</v>
      </c>
      <c r="M13" s="107">
        <v>42000</v>
      </c>
      <c r="N13" s="107">
        <v>223000</v>
      </c>
      <c r="O13" s="50" t="s">
        <v>212</v>
      </c>
      <c r="P13" s="50">
        <v>2016</v>
      </c>
      <c r="Q13" s="50">
        <v>2018</v>
      </c>
      <c r="R13" s="111">
        <v>50000</v>
      </c>
      <c r="S13" s="111">
        <v>50000</v>
      </c>
      <c r="T13" s="68"/>
      <c r="U13" s="68"/>
      <c r="V13" s="53" t="s">
        <v>327</v>
      </c>
      <c r="W13" s="50" t="s">
        <v>246</v>
      </c>
      <c r="X13" s="111">
        <v>50000</v>
      </c>
    </row>
  </sheetData>
  <autoFilter ref="A5:G12"/>
  <mergeCells count="15">
    <mergeCell ref="F6:F13"/>
    <mergeCell ref="B6:B13"/>
    <mergeCell ref="C6:C13"/>
    <mergeCell ref="D6:D13"/>
    <mergeCell ref="A1:B1"/>
    <mergeCell ref="C1:Y3"/>
    <mergeCell ref="A4:A5"/>
    <mergeCell ref="C4:H4"/>
    <mergeCell ref="I4:J4"/>
    <mergeCell ref="K4:L4"/>
    <mergeCell ref="M4:N4"/>
    <mergeCell ref="O4:Q4"/>
    <mergeCell ref="R4:R5"/>
    <mergeCell ref="S4:V4"/>
    <mergeCell ref="X4:X5"/>
  </mergeCells>
  <dataValidations count="1">
    <dataValidation type="list" allowBlank="1" showInputMessage="1" showErrorMessage="1" error="LUEGO DE SELECCIONAR EL COMPONENTE, ESCOJA EL OBJETIVO ESPECIFICO DEL PDOT AL QUE SE ARTICULA SU PROYECTO" prompt="LUEGO DE SELECCIONAR EL COMPONENTE, ESCOJA EL OBJETIVO ESPECIFICO DEL PDOT AL QUE SE ARTICULA SU PROYECTO" sqref="D6">
      <formula1>INDIRECT(C6)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SELECCIONE EL COMPONENTE DEL PDOT AL QUE SE ARTICULA ESTE PROYECTO" prompt="SELECCIONE EL COMPONENTE DEL PDOT AL QUE SE ARTICULA ESTE PROYECTO">
          <x14:formula1>
            <xm:f>'DATOS 1'!$E$24:$E$28</xm:f>
          </x14:formula1>
          <xm:sqref>C6</xm:sqref>
        </x14:dataValidation>
        <x14:dataValidation type="list" allowBlank="1" showInputMessage="1" showErrorMessage="1" prompt="ESCOJA EL TIPO DE CONTRATACIÓN POR CADA ACTIVIDAD DEL PROYECTO">
          <x14:formula1>
            <xm:f>'DATOS 1'!$G$3:$G$6</xm:f>
          </x14:formula1>
          <xm:sqref>J6:J13</xm:sqref>
        </x14:dataValidation>
        <x14:dataValidation type="list" allowBlank="1" showInputMessage="1" showErrorMessage="1" error="SELECCIONE LA LOCALIZACIÓN DEL PROYECTO" prompt="SELECCIONE LA LOCALIZACIÓN DEL PROYECTO">
          <x14:formula1>
            <xm:f>'DATOS 1'!$I$3:$I$20</xm:f>
          </x14:formula1>
          <xm:sqref>K6:K13</xm:sqref>
        </x14:dataValidation>
        <x14:dataValidation type="list" allowBlank="1" showInputMessage="1" showErrorMessage="1" error="SELECCIONE SI SU PROYECTO ES DE TIPO ANUAL O PLURIANUAL" prompt="SELECCIONE SI SU PROYECTO ES DE TIPO ANUAL O PLURIANUAL">
          <x14:formula1>
            <xm:f>'DATOS 1'!$M$3:$M$4</xm:f>
          </x14:formula1>
          <xm:sqref>O6:O13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L93"/>
  <sheetViews>
    <sheetView zoomScale="85" zoomScaleNormal="85" workbookViewId="0">
      <selection activeCell="D11" sqref="D11"/>
    </sheetView>
  </sheetViews>
  <sheetFormatPr baseColWidth="10" defaultColWidth="11.42578125" defaultRowHeight="15" x14ac:dyDescent="0.25"/>
  <cols>
    <col min="1" max="1" width="4.28515625" style="54" bestFit="1" customWidth="1"/>
    <col min="2" max="2" width="24.85546875" style="55" customWidth="1"/>
    <col min="3" max="3" width="15.42578125" style="54" customWidth="1"/>
    <col min="4" max="4" width="30.42578125" style="54" customWidth="1"/>
    <col min="5" max="5" width="14.85546875" style="1" customWidth="1"/>
    <col min="6" max="6" width="10.42578125" style="1" customWidth="1"/>
    <col min="7" max="7" width="8.5703125" style="85" customWidth="1"/>
    <col min="8" max="9" width="11.42578125" style="1" customWidth="1"/>
    <col min="10" max="10" width="18.140625" style="1" customWidth="1"/>
    <col min="11" max="16384" width="11.42578125" style="1"/>
  </cols>
  <sheetData>
    <row r="1" spans="1:12" ht="30" customHeight="1" x14ac:dyDescent="0.25">
      <c r="A1" s="472" t="s">
        <v>213</v>
      </c>
      <c r="B1" s="472"/>
      <c r="C1" s="479" t="s">
        <v>83</v>
      </c>
      <c r="D1" s="480"/>
      <c r="E1" s="480"/>
      <c r="F1" s="480"/>
      <c r="G1" s="480"/>
      <c r="H1" s="480"/>
      <c r="I1" s="480"/>
      <c r="J1" s="480"/>
      <c r="K1" s="480"/>
      <c r="L1" s="480"/>
    </row>
    <row r="2" spans="1:12" ht="15" customHeight="1" x14ac:dyDescent="0.25">
      <c r="A2" s="42"/>
      <c r="B2" s="2" t="s">
        <v>242</v>
      </c>
      <c r="C2" s="479"/>
      <c r="D2" s="480"/>
      <c r="E2" s="480"/>
      <c r="F2" s="480"/>
      <c r="G2" s="480"/>
      <c r="H2" s="480"/>
      <c r="I2" s="480"/>
      <c r="J2" s="480"/>
      <c r="K2" s="480"/>
      <c r="L2" s="480"/>
    </row>
    <row r="3" spans="1:12" ht="15" customHeight="1" x14ac:dyDescent="0.25">
      <c r="A3" s="43"/>
      <c r="B3" s="2" t="s">
        <v>214</v>
      </c>
      <c r="C3" s="479"/>
      <c r="D3" s="480"/>
      <c r="E3" s="480"/>
      <c r="F3" s="480"/>
      <c r="G3" s="480"/>
      <c r="H3" s="480"/>
      <c r="I3" s="480"/>
      <c r="J3" s="480"/>
      <c r="K3" s="480"/>
      <c r="L3" s="480"/>
    </row>
    <row r="4" spans="1:12" ht="15" customHeight="1" x14ac:dyDescent="0.25">
      <c r="A4" s="44"/>
      <c r="B4" s="2" t="s">
        <v>215</v>
      </c>
      <c r="C4" s="486"/>
      <c r="D4" s="487"/>
      <c r="E4" s="487"/>
      <c r="F4" s="487"/>
      <c r="G4" s="487"/>
      <c r="H4" s="487"/>
      <c r="I4" s="487"/>
      <c r="J4" s="487"/>
      <c r="K4" s="487"/>
      <c r="L4" s="487"/>
    </row>
    <row r="5" spans="1:12" s="3" customFormat="1" ht="30" customHeight="1" x14ac:dyDescent="0.25">
      <c r="A5" s="474" t="s">
        <v>0</v>
      </c>
      <c r="B5" s="474" t="s">
        <v>1</v>
      </c>
      <c r="C5" s="474"/>
      <c r="D5" s="474" t="s">
        <v>58</v>
      </c>
      <c r="E5" s="474" t="s">
        <v>82</v>
      </c>
      <c r="F5" s="474" t="s">
        <v>130</v>
      </c>
      <c r="G5" s="474" t="s">
        <v>81</v>
      </c>
      <c r="H5" s="474" t="s">
        <v>80</v>
      </c>
      <c r="I5" s="488" t="s">
        <v>79</v>
      </c>
      <c r="J5" s="488"/>
      <c r="K5" s="475" t="s">
        <v>78</v>
      </c>
      <c r="L5" s="475"/>
    </row>
    <row r="6" spans="1:12" s="3" customFormat="1" ht="30" x14ac:dyDescent="0.25">
      <c r="A6" s="474"/>
      <c r="B6" s="104" t="s">
        <v>221</v>
      </c>
      <c r="C6" s="41" t="s">
        <v>8</v>
      </c>
      <c r="D6" s="474"/>
      <c r="E6" s="474"/>
      <c r="F6" s="474"/>
      <c r="G6" s="474"/>
      <c r="H6" s="474"/>
      <c r="I6" s="105" t="s">
        <v>77</v>
      </c>
      <c r="J6" s="105" t="s">
        <v>76</v>
      </c>
      <c r="K6" s="23" t="s">
        <v>75</v>
      </c>
      <c r="L6" s="59" t="s">
        <v>74</v>
      </c>
    </row>
    <row r="7" spans="1:12" ht="30" customHeight="1" x14ac:dyDescent="0.25">
      <c r="A7" s="49"/>
      <c r="B7" s="51" t="s">
        <v>147</v>
      </c>
      <c r="C7" s="50" t="str">
        <f>IF(B7='[1]DATOS 1'!$C$3,'[1]DATOS 1'!$B$3,IF(B7='[1]DATOS 1'!$C$4,'[1]DATOS 1'!$B$4,IF(B7='[1]DATOS 1'!$C$5,'[1]DATOS 1'!$B$5,IF(B7='[1]DATOS 1'!$C$6,'[1]DATOS 1'!$B$6,IF(B7='[1]DATOS 1'!$C$7,'[1]DATOS 1'!$B$7,IF(B7='[1]DATOS 1'!$C$8,'[1]DATOS 1'!$B$8,IF(B7='[1]DATOS 1'!$C$9,'[1]DATOS 1'!$B$9,IF(B7='[1]DATOS 1'!$C$10,'[1]DATOS 1'!$B$10,IF(B7='[1]DATOS 1'!$C$11,'[1]DATOS 1'!$B$11,IF(B7='[1]DATOS 1'!$C$12,'[1]DATOS 1'!$B$12,IF(B7='[1]DATOS 1'!$C$13,'[1]DATOS 1'!$B$13,IF(B7='[1]DATOS 1'!$C$14,'[1]DATOS 1'!$B$14,IF(B7='[1]DATOS 1'!$C$15,'[1]DATOS 1'!$B$15,IF(B7='[1]DATOS 1'!$C$16,'[1]DATOS 1'!$B$16,IF(B7='[1]DATOS 1'!$C$17,'[1]DATOS 1'!$B$17,IF(B7='[1]DATOS 1'!$C$18,'[1]DATOS 1'!$B$18,IF(B7='[1]DATOS 1'!$C$19,'[1]DATOS 1'!$B$19,IF(B7='[1]DATOS 1'!$C$20,'[1]DATOS 1'!$B$20,IF(B7='[1]DATOS 1'!$C$21,'[1]DATOS 1'!$B$21,IF(B7='[1]DATOS 1'!$C$22,'[1]DATOS 1'!$B$22,IF(B7='[1]DATOS 1'!$C$23,'[1]DATOS 1'!$B$23,IF(B7='[1]DATOS 1'!$C$24,'[1]DATOS 1'!$B$24,IF(B7='[1]DATOS 1'!$C$25,'[1]DATOS 1'!$B$25,IF(B7='[1]DATOS 1'!$C$26,'[1]DATOS 1'!$B$26,IF(B7='[1]DATOS 1'!$C$27,'[1]DATOS 1'!$B$27,IF(B7='[1]DATOS 1'!$C$28,'[1]DATOS 1'!$B$28,IF(B7='[1]DATOS 1'!$C$29,'[1]DATOS 1'!$B$29,IF(B7='[1]DATOS 1'!$C$30,'[1]DATOS 1'!$B$30,IF(B7='[1]DATOS 1'!$C$31,'[1]DATOS 1'!$B$31,IF(B7='[1]DATOS 1'!$C$32,'[1]DATOS 1'!$B$32,IF(B7='[1]DATOS 1'!$C$33,'[1]DATOS 1'!$B$33,IF(B7='[1]DATOS 1'!$C$34,'[1]DATOS 1'!$B$34,IF(B7='[1]DATOS 1'!$C$35,'[1]DATOS 1'!$B$35," ")))))))))))))))))))))))))))))))))</f>
        <v>DCD. INSTITUCIONAL</v>
      </c>
      <c r="D7" s="78" t="s">
        <v>122</v>
      </c>
      <c r="E7" s="2" t="s">
        <v>525</v>
      </c>
      <c r="F7" s="79" t="s">
        <v>551</v>
      </c>
      <c r="G7" s="79">
        <v>60</v>
      </c>
      <c r="H7" s="2"/>
      <c r="I7" s="94">
        <v>530804</v>
      </c>
      <c r="J7" s="71" t="s">
        <v>524</v>
      </c>
      <c r="K7" s="106">
        <v>2.464</v>
      </c>
      <c r="L7" s="106">
        <f>+G7*K7</f>
        <v>147.84</v>
      </c>
    </row>
    <row r="8" spans="1:12" ht="30" x14ac:dyDescent="0.25">
      <c r="A8" s="49"/>
      <c r="B8" s="51" t="s">
        <v>147</v>
      </c>
      <c r="C8" s="50" t="str">
        <f>IF(B8='[1]DATOS 1'!$C$3,'[1]DATOS 1'!$B$3,IF(B8='[1]DATOS 1'!$C$4,'[1]DATOS 1'!$B$4,IF(B8='[1]DATOS 1'!$C$5,'[1]DATOS 1'!$B$5,IF(B8='[1]DATOS 1'!$C$6,'[1]DATOS 1'!$B$6,IF(B8='[1]DATOS 1'!$C$7,'[1]DATOS 1'!$B$7,IF(B8='[1]DATOS 1'!$C$8,'[1]DATOS 1'!$B$8,IF(B8='[1]DATOS 1'!$C$9,'[1]DATOS 1'!$B$9,IF(B8='[1]DATOS 1'!$C$10,'[1]DATOS 1'!$B$10,IF(B8='[1]DATOS 1'!$C$11,'[1]DATOS 1'!$B$11,IF(B8='[1]DATOS 1'!$C$12,'[1]DATOS 1'!$B$12,IF(B8='[1]DATOS 1'!$C$13,'[1]DATOS 1'!$B$13,IF(B8='[1]DATOS 1'!$C$14,'[1]DATOS 1'!$B$14,IF(B8='[1]DATOS 1'!$C$15,'[1]DATOS 1'!$B$15,IF(B8='[1]DATOS 1'!$C$16,'[1]DATOS 1'!$B$16,IF(B8='[1]DATOS 1'!$C$17,'[1]DATOS 1'!$B$17,IF(B8='[1]DATOS 1'!$C$18,'[1]DATOS 1'!$B$18,IF(B8='[1]DATOS 1'!$C$19,'[1]DATOS 1'!$B$19,IF(B8='[1]DATOS 1'!$C$20,'[1]DATOS 1'!$B$20,IF(B8='[1]DATOS 1'!$C$21,'[1]DATOS 1'!$B$21,IF(B8='[1]DATOS 1'!$C$22,'[1]DATOS 1'!$B$22,IF(B8='[1]DATOS 1'!$C$23,'[1]DATOS 1'!$B$23,IF(B8='[1]DATOS 1'!$C$24,'[1]DATOS 1'!$B$24,IF(B8='[1]DATOS 1'!$C$25,'[1]DATOS 1'!$B$25,IF(B8='[1]DATOS 1'!$C$26,'[1]DATOS 1'!$B$26,IF(B8='[1]DATOS 1'!$C$27,'[1]DATOS 1'!$B$27,IF(B8='[1]DATOS 1'!$C$28,'[1]DATOS 1'!$B$28,IF(B8='[1]DATOS 1'!$C$29,'[1]DATOS 1'!$B$29,IF(B8='[1]DATOS 1'!$C$30,'[1]DATOS 1'!$B$30,IF(B8='[1]DATOS 1'!$C$31,'[1]DATOS 1'!$B$31,IF(B8='[1]DATOS 1'!$C$32,'[1]DATOS 1'!$B$32,IF(B8='[1]DATOS 1'!$C$33,'[1]DATOS 1'!$B$33,IF(B8='[1]DATOS 1'!$C$34,'[1]DATOS 1'!$B$34,IF(B8='[1]DATOS 1'!$C$35,'[1]DATOS 1'!$B$35," ")))))))))))))))))))))))))))))))))</f>
        <v>DCD. INSTITUCIONAL</v>
      </c>
      <c r="D8" s="78" t="s">
        <v>122</v>
      </c>
      <c r="E8" s="2" t="s">
        <v>459</v>
      </c>
      <c r="F8" s="79" t="s">
        <v>551</v>
      </c>
      <c r="G8" s="79">
        <v>6</v>
      </c>
      <c r="H8" s="2"/>
      <c r="I8" s="94">
        <v>530804</v>
      </c>
      <c r="J8" s="71" t="s">
        <v>524</v>
      </c>
      <c r="K8" s="106">
        <v>0.46</v>
      </c>
      <c r="L8" s="106">
        <f t="shared" ref="L8:L77" si="0">+G8*K8</f>
        <v>2.7600000000000002</v>
      </c>
    </row>
    <row r="9" spans="1:12" ht="45" x14ac:dyDescent="0.25">
      <c r="A9" s="49"/>
      <c r="B9" s="51" t="s">
        <v>147</v>
      </c>
      <c r="C9" s="50" t="str">
        <f>IF(B9='[1]DATOS 1'!$C$3,'[1]DATOS 1'!$B$3,IF(B9='[1]DATOS 1'!$C$4,'[1]DATOS 1'!$B$4,IF(B9='[1]DATOS 1'!$C$5,'[1]DATOS 1'!$B$5,IF(B9='[1]DATOS 1'!$C$6,'[1]DATOS 1'!$B$6,IF(B9='[1]DATOS 1'!$C$7,'[1]DATOS 1'!$B$7,IF(B9='[1]DATOS 1'!$C$8,'[1]DATOS 1'!$B$8,IF(B9='[1]DATOS 1'!$C$9,'[1]DATOS 1'!$B$9,IF(B9='[1]DATOS 1'!$C$10,'[1]DATOS 1'!$B$10,IF(B9='[1]DATOS 1'!$C$11,'[1]DATOS 1'!$B$11,IF(B9='[1]DATOS 1'!$C$12,'[1]DATOS 1'!$B$12,IF(B9='[1]DATOS 1'!$C$13,'[1]DATOS 1'!$B$13,IF(B9='[1]DATOS 1'!$C$14,'[1]DATOS 1'!$B$14,IF(B9='[1]DATOS 1'!$C$15,'[1]DATOS 1'!$B$15,IF(B9='[1]DATOS 1'!$C$16,'[1]DATOS 1'!$B$16,IF(B9='[1]DATOS 1'!$C$17,'[1]DATOS 1'!$B$17,IF(B9='[1]DATOS 1'!$C$18,'[1]DATOS 1'!$B$18,IF(B9='[1]DATOS 1'!$C$19,'[1]DATOS 1'!$B$19,IF(B9='[1]DATOS 1'!$C$20,'[1]DATOS 1'!$B$20,IF(B9='[1]DATOS 1'!$C$21,'[1]DATOS 1'!$B$21,IF(B9='[1]DATOS 1'!$C$22,'[1]DATOS 1'!$B$22,IF(B9='[1]DATOS 1'!$C$23,'[1]DATOS 1'!$B$23,IF(B9='[1]DATOS 1'!$C$24,'[1]DATOS 1'!$B$24,IF(B9='[1]DATOS 1'!$C$25,'[1]DATOS 1'!$B$25,IF(B9='[1]DATOS 1'!$C$26,'[1]DATOS 1'!$B$26,IF(B9='[1]DATOS 1'!$C$27,'[1]DATOS 1'!$B$27,IF(B9='[1]DATOS 1'!$C$28,'[1]DATOS 1'!$B$28,IF(B9='[1]DATOS 1'!$C$29,'[1]DATOS 1'!$B$29,IF(B9='[1]DATOS 1'!$C$30,'[1]DATOS 1'!$B$30,IF(B9='[1]DATOS 1'!$C$31,'[1]DATOS 1'!$B$31,IF(B9='[1]DATOS 1'!$C$32,'[1]DATOS 1'!$B$32,IF(B9='[1]DATOS 1'!$C$33,'[1]DATOS 1'!$B$33,IF(B9='[1]DATOS 1'!$C$34,'[1]DATOS 1'!$B$34,IF(B9='[1]DATOS 1'!$C$35,'[1]DATOS 1'!$B$35," ")))))))))))))))))))))))))))))))))</f>
        <v>DCD. INSTITUCIONAL</v>
      </c>
      <c r="D9" s="78" t="s">
        <v>122</v>
      </c>
      <c r="E9" s="2" t="s">
        <v>460</v>
      </c>
      <c r="F9" s="79" t="s">
        <v>551</v>
      </c>
      <c r="G9" s="79">
        <v>150</v>
      </c>
      <c r="H9" s="2"/>
      <c r="I9" s="94">
        <v>530804</v>
      </c>
      <c r="J9" s="71" t="s">
        <v>524</v>
      </c>
      <c r="K9" s="106">
        <v>1.2821</v>
      </c>
      <c r="L9" s="106">
        <f t="shared" si="0"/>
        <v>192.315</v>
      </c>
    </row>
    <row r="10" spans="1:12" ht="30" x14ac:dyDescent="0.25">
      <c r="A10" s="49"/>
      <c r="B10" s="51" t="s">
        <v>147</v>
      </c>
      <c r="C10" s="50" t="str">
        <f>IF(B10='[1]DATOS 1'!$C$3,'[1]DATOS 1'!$B$3,IF(B10='[1]DATOS 1'!$C$4,'[1]DATOS 1'!$B$4,IF(B10='[1]DATOS 1'!$C$5,'[1]DATOS 1'!$B$5,IF(B10='[1]DATOS 1'!$C$6,'[1]DATOS 1'!$B$6,IF(B10='[1]DATOS 1'!$C$7,'[1]DATOS 1'!$B$7,IF(B10='[1]DATOS 1'!$C$8,'[1]DATOS 1'!$B$8,IF(B10='[1]DATOS 1'!$C$9,'[1]DATOS 1'!$B$9,IF(B10='[1]DATOS 1'!$C$10,'[1]DATOS 1'!$B$10,IF(B10='[1]DATOS 1'!$C$11,'[1]DATOS 1'!$B$11,IF(B10='[1]DATOS 1'!$C$12,'[1]DATOS 1'!$B$12,IF(B10='[1]DATOS 1'!$C$13,'[1]DATOS 1'!$B$13,IF(B10='[1]DATOS 1'!$C$14,'[1]DATOS 1'!$B$14,IF(B10='[1]DATOS 1'!$C$15,'[1]DATOS 1'!$B$15,IF(B10='[1]DATOS 1'!$C$16,'[1]DATOS 1'!$B$16,IF(B10='[1]DATOS 1'!$C$17,'[1]DATOS 1'!$B$17,IF(B10='[1]DATOS 1'!$C$18,'[1]DATOS 1'!$B$18,IF(B10='[1]DATOS 1'!$C$19,'[1]DATOS 1'!$B$19,IF(B10='[1]DATOS 1'!$C$20,'[1]DATOS 1'!$B$20,IF(B10='[1]DATOS 1'!$C$21,'[1]DATOS 1'!$B$21,IF(B10='[1]DATOS 1'!$C$22,'[1]DATOS 1'!$B$22,IF(B10='[1]DATOS 1'!$C$23,'[1]DATOS 1'!$B$23,IF(B10='[1]DATOS 1'!$C$24,'[1]DATOS 1'!$B$24,IF(B10='[1]DATOS 1'!$C$25,'[1]DATOS 1'!$B$25,IF(B10='[1]DATOS 1'!$C$26,'[1]DATOS 1'!$B$26,IF(B10='[1]DATOS 1'!$C$27,'[1]DATOS 1'!$B$27,IF(B10='[1]DATOS 1'!$C$28,'[1]DATOS 1'!$B$28,IF(B10='[1]DATOS 1'!$C$29,'[1]DATOS 1'!$B$29,IF(B10='[1]DATOS 1'!$C$30,'[1]DATOS 1'!$B$30,IF(B10='[1]DATOS 1'!$C$31,'[1]DATOS 1'!$B$31,IF(B10='[1]DATOS 1'!$C$32,'[1]DATOS 1'!$B$32,IF(B10='[1]DATOS 1'!$C$33,'[1]DATOS 1'!$B$33,IF(B10='[1]DATOS 1'!$C$34,'[1]DATOS 1'!$B$34,IF(B10='[1]DATOS 1'!$C$35,'[1]DATOS 1'!$B$35," ")))))))))))))))))))))))))))))))))</f>
        <v>DCD. INSTITUCIONAL</v>
      </c>
      <c r="D10" s="78" t="s">
        <v>122</v>
      </c>
      <c r="E10" s="2" t="s">
        <v>461</v>
      </c>
      <c r="F10" s="79" t="s">
        <v>551</v>
      </c>
      <c r="G10" s="79">
        <v>300</v>
      </c>
      <c r="H10" s="2"/>
      <c r="I10" s="94">
        <v>530804</v>
      </c>
      <c r="J10" s="71" t="s">
        <v>524</v>
      </c>
      <c r="K10" s="106">
        <v>0.1477</v>
      </c>
      <c r="L10" s="106">
        <f t="shared" si="0"/>
        <v>44.31</v>
      </c>
    </row>
    <row r="11" spans="1:12" ht="30" x14ac:dyDescent="0.25">
      <c r="A11" s="49"/>
      <c r="B11" s="51" t="s">
        <v>147</v>
      </c>
      <c r="C11" s="50" t="str">
        <f>IF(B11='[1]DATOS 1'!$C$3,'[1]DATOS 1'!$B$3,IF(B11='[1]DATOS 1'!$C$4,'[1]DATOS 1'!$B$4,IF(B11='[1]DATOS 1'!$C$5,'[1]DATOS 1'!$B$5,IF(B11='[1]DATOS 1'!$C$6,'[1]DATOS 1'!$B$6,IF(B11='[1]DATOS 1'!$C$7,'[1]DATOS 1'!$B$7,IF(B11='[1]DATOS 1'!$C$8,'[1]DATOS 1'!$B$8,IF(B11='[1]DATOS 1'!$C$9,'[1]DATOS 1'!$B$9,IF(B11='[1]DATOS 1'!$C$10,'[1]DATOS 1'!$B$10,IF(B11='[1]DATOS 1'!$C$11,'[1]DATOS 1'!$B$11,IF(B11='[1]DATOS 1'!$C$12,'[1]DATOS 1'!$B$12,IF(B11='[1]DATOS 1'!$C$13,'[1]DATOS 1'!$B$13,IF(B11='[1]DATOS 1'!$C$14,'[1]DATOS 1'!$B$14,IF(B11='[1]DATOS 1'!$C$15,'[1]DATOS 1'!$B$15,IF(B11='[1]DATOS 1'!$C$16,'[1]DATOS 1'!$B$16,IF(B11='[1]DATOS 1'!$C$17,'[1]DATOS 1'!$B$17,IF(B11='[1]DATOS 1'!$C$18,'[1]DATOS 1'!$B$18,IF(B11='[1]DATOS 1'!$C$19,'[1]DATOS 1'!$B$19,IF(B11='[1]DATOS 1'!$C$20,'[1]DATOS 1'!$B$20,IF(B11='[1]DATOS 1'!$C$21,'[1]DATOS 1'!$B$21,IF(B11='[1]DATOS 1'!$C$22,'[1]DATOS 1'!$B$22,IF(B11='[1]DATOS 1'!$C$23,'[1]DATOS 1'!$B$23,IF(B11='[1]DATOS 1'!$C$24,'[1]DATOS 1'!$B$24,IF(B11='[1]DATOS 1'!$C$25,'[1]DATOS 1'!$B$25,IF(B11='[1]DATOS 1'!$C$26,'[1]DATOS 1'!$B$26,IF(B11='[1]DATOS 1'!$C$27,'[1]DATOS 1'!$B$27,IF(B11='[1]DATOS 1'!$C$28,'[1]DATOS 1'!$B$28,IF(B11='[1]DATOS 1'!$C$29,'[1]DATOS 1'!$B$29,IF(B11='[1]DATOS 1'!$C$30,'[1]DATOS 1'!$B$30,IF(B11='[1]DATOS 1'!$C$31,'[1]DATOS 1'!$B$31,IF(B11='[1]DATOS 1'!$C$32,'[1]DATOS 1'!$B$32,IF(B11='[1]DATOS 1'!$C$33,'[1]DATOS 1'!$B$33,IF(B11='[1]DATOS 1'!$C$34,'[1]DATOS 1'!$B$34,IF(B11='[1]DATOS 1'!$C$35,'[1]DATOS 1'!$B$35," ")))))))))))))))))))))))))))))))))</f>
        <v>DCD. INSTITUCIONAL</v>
      </c>
      <c r="D11" s="78" t="s">
        <v>122</v>
      </c>
      <c r="E11" s="2" t="s">
        <v>462</v>
      </c>
      <c r="F11" s="79" t="s">
        <v>551</v>
      </c>
      <c r="G11" s="79">
        <v>24</v>
      </c>
      <c r="H11" s="2"/>
      <c r="I11" s="94">
        <v>530804</v>
      </c>
      <c r="J11" s="71" t="s">
        <v>524</v>
      </c>
      <c r="K11" s="106">
        <v>0.1444</v>
      </c>
      <c r="L11" s="106">
        <f t="shared" si="0"/>
        <v>3.4656000000000002</v>
      </c>
    </row>
    <row r="12" spans="1:12" ht="30" x14ac:dyDescent="0.25">
      <c r="A12" s="49"/>
      <c r="B12" s="51" t="s">
        <v>147</v>
      </c>
      <c r="C12" s="50" t="str">
        <f>IF(B12='[1]DATOS 1'!$C$3,'[1]DATOS 1'!$B$3,IF(B12='[1]DATOS 1'!$C$4,'[1]DATOS 1'!$B$4,IF(B12='[1]DATOS 1'!$C$5,'[1]DATOS 1'!$B$5,IF(B12='[1]DATOS 1'!$C$6,'[1]DATOS 1'!$B$6,IF(B12='[1]DATOS 1'!$C$7,'[1]DATOS 1'!$B$7,IF(B12='[1]DATOS 1'!$C$8,'[1]DATOS 1'!$B$8,IF(B12='[1]DATOS 1'!$C$9,'[1]DATOS 1'!$B$9,IF(B12='[1]DATOS 1'!$C$10,'[1]DATOS 1'!$B$10,IF(B12='[1]DATOS 1'!$C$11,'[1]DATOS 1'!$B$11,IF(B12='[1]DATOS 1'!$C$12,'[1]DATOS 1'!$B$12,IF(B12='[1]DATOS 1'!$C$13,'[1]DATOS 1'!$B$13,IF(B12='[1]DATOS 1'!$C$14,'[1]DATOS 1'!$B$14,IF(B12='[1]DATOS 1'!$C$15,'[1]DATOS 1'!$B$15,IF(B12='[1]DATOS 1'!$C$16,'[1]DATOS 1'!$B$16,IF(B12='[1]DATOS 1'!$C$17,'[1]DATOS 1'!$B$17,IF(B12='[1]DATOS 1'!$C$18,'[1]DATOS 1'!$B$18,IF(B12='[1]DATOS 1'!$C$19,'[1]DATOS 1'!$B$19,IF(B12='[1]DATOS 1'!$C$20,'[1]DATOS 1'!$B$20,IF(B12='[1]DATOS 1'!$C$21,'[1]DATOS 1'!$B$21,IF(B12='[1]DATOS 1'!$C$22,'[1]DATOS 1'!$B$22,IF(B12='[1]DATOS 1'!$C$23,'[1]DATOS 1'!$B$23,IF(B12='[1]DATOS 1'!$C$24,'[1]DATOS 1'!$B$24,IF(B12='[1]DATOS 1'!$C$25,'[1]DATOS 1'!$B$25,IF(B12='[1]DATOS 1'!$C$26,'[1]DATOS 1'!$B$26,IF(B12='[1]DATOS 1'!$C$27,'[1]DATOS 1'!$B$27,IF(B12='[1]DATOS 1'!$C$28,'[1]DATOS 1'!$B$28,IF(B12='[1]DATOS 1'!$C$29,'[1]DATOS 1'!$B$29,IF(B12='[1]DATOS 1'!$C$30,'[1]DATOS 1'!$B$30,IF(B12='[1]DATOS 1'!$C$31,'[1]DATOS 1'!$B$31,IF(B12='[1]DATOS 1'!$C$32,'[1]DATOS 1'!$B$32,IF(B12='[1]DATOS 1'!$C$33,'[1]DATOS 1'!$B$33,IF(B12='[1]DATOS 1'!$C$34,'[1]DATOS 1'!$B$34,IF(B12='[1]DATOS 1'!$C$35,'[1]DATOS 1'!$B$35," ")))))))))))))))))))))))))))))))))</f>
        <v>DCD. INSTITUCIONAL</v>
      </c>
      <c r="D12" s="78" t="s">
        <v>122</v>
      </c>
      <c r="E12" s="2" t="s">
        <v>463</v>
      </c>
      <c r="F12" s="79" t="s">
        <v>551</v>
      </c>
      <c r="G12" s="79">
        <v>12</v>
      </c>
      <c r="H12" s="2"/>
      <c r="I12" s="94">
        <v>530804</v>
      </c>
      <c r="J12" s="71" t="s">
        <v>524</v>
      </c>
      <c r="K12" s="106">
        <v>0.15</v>
      </c>
      <c r="L12" s="106">
        <f t="shared" si="0"/>
        <v>1.7999999999999998</v>
      </c>
    </row>
    <row r="13" spans="1:12" ht="30" x14ac:dyDescent="0.25">
      <c r="A13" s="49"/>
      <c r="B13" s="51" t="s">
        <v>147</v>
      </c>
      <c r="C13" s="50" t="str">
        <f>IF(B13='[1]DATOS 1'!$C$3,'[1]DATOS 1'!$B$3,IF(B13='[1]DATOS 1'!$C$4,'[1]DATOS 1'!$B$4,IF(B13='[1]DATOS 1'!$C$5,'[1]DATOS 1'!$B$5,IF(B13='[1]DATOS 1'!$C$6,'[1]DATOS 1'!$B$6,IF(B13='[1]DATOS 1'!$C$7,'[1]DATOS 1'!$B$7,IF(B13='[1]DATOS 1'!$C$8,'[1]DATOS 1'!$B$8,IF(B13='[1]DATOS 1'!$C$9,'[1]DATOS 1'!$B$9,IF(B13='[1]DATOS 1'!$C$10,'[1]DATOS 1'!$B$10,IF(B13='[1]DATOS 1'!$C$11,'[1]DATOS 1'!$B$11,IF(B13='[1]DATOS 1'!$C$12,'[1]DATOS 1'!$B$12,IF(B13='[1]DATOS 1'!$C$13,'[1]DATOS 1'!$B$13,IF(B13='[1]DATOS 1'!$C$14,'[1]DATOS 1'!$B$14,IF(B13='[1]DATOS 1'!$C$15,'[1]DATOS 1'!$B$15,IF(B13='[1]DATOS 1'!$C$16,'[1]DATOS 1'!$B$16,IF(B13='[1]DATOS 1'!$C$17,'[1]DATOS 1'!$B$17,IF(B13='[1]DATOS 1'!$C$18,'[1]DATOS 1'!$B$18,IF(B13='[1]DATOS 1'!$C$19,'[1]DATOS 1'!$B$19,IF(B13='[1]DATOS 1'!$C$20,'[1]DATOS 1'!$B$20,IF(B13='[1]DATOS 1'!$C$21,'[1]DATOS 1'!$B$21,IF(B13='[1]DATOS 1'!$C$22,'[1]DATOS 1'!$B$22,IF(B13='[1]DATOS 1'!$C$23,'[1]DATOS 1'!$B$23,IF(B13='[1]DATOS 1'!$C$24,'[1]DATOS 1'!$B$24,IF(B13='[1]DATOS 1'!$C$25,'[1]DATOS 1'!$B$25,IF(B13='[1]DATOS 1'!$C$26,'[1]DATOS 1'!$B$26,IF(B13='[1]DATOS 1'!$C$27,'[1]DATOS 1'!$B$27,IF(B13='[1]DATOS 1'!$C$28,'[1]DATOS 1'!$B$28,IF(B13='[1]DATOS 1'!$C$29,'[1]DATOS 1'!$B$29,IF(B13='[1]DATOS 1'!$C$30,'[1]DATOS 1'!$B$30,IF(B13='[1]DATOS 1'!$C$31,'[1]DATOS 1'!$B$31,IF(B13='[1]DATOS 1'!$C$32,'[1]DATOS 1'!$B$32,IF(B13='[1]DATOS 1'!$C$33,'[1]DATOS 1'!$B$33,IF(B13='[1]DATOS 1'!$C$34,'[1]DATOS 1'!$B$34,IF(B13='[1]DATOS 1'!$C$35,'[1]DATOS 1'!$B$35," ")))))))))))))))))))))))))))))))))</f>
        <v>DCD. INSTITUCIONAL</v>
      </c>
      <c r="D13" s="78" t="s">
        <v>122</v>
      </c>
      <c r="E13" s="2" t="s">
        <v>464</v>
      </c>
      <c r="F13" s="79" t="s">
        <v>551</v>
      </c>
      <c r="G13" s="79">
        <v>4</v>
      </c>
      <c r="H13" s="2"/>
      <c r="I13" s="94">
        <v>530804</v>
      </c>
      <c r="J13" s="71" t="s">
        <v>524</v>
      </c>
      <c r="K13" s="106">
        <v>0.33500000000000002</v>
      </c>
      <c r="L13" s="106">
        <f t="shared" si="0"/>
        <v>1.34</v>
      </c>
    </row>
    <row r="14" spans="1:12" ht="30" x14ac:dyDescent="0.25">
      <c r="A14" s="49"/>
      <c r="B14" s="51" t="s">
        <v>147</v>
      </c>
      <c r="C14" s="50" t="str">
        <f>IF(B14='[1]DATOS 1'!$C$3,'[1]DATOS 1'!$B$3,IF(B14='[1]DATOS 1'!$C$4,'[1]DATOS 1'!$B$4,IF(B14='[1]DATOS 1'!$C$5,'[1]DATOS 1'!$B$5,IF(B14='[1]DATOS 1'!$C$6,'[1]DATOS 1'!$B$6,IF(B14='[1]DATOS 1'!$C$7,'[1]DATOS 1'!$B$7,IF(B14='[1]DATOS 1'!$C$8,'[1]DATOS 1'!$B$8,IF(B14='[1]DATOS 1'!$C$9,'[1]DATOS 1'!$B$9,IF(B14='[1]DATOS 1'!$C$10,'[1]DATOS 1'!$B$10,IF(B14='[1]DATOS 1'!$C$11,'[1]DATOS 1'!$B$11,IF(B14='[1]DATOS 1'!$C$12,'[1]DATOS 1'!$B$12,IF(B14='[1]DATOS 1'!$C$13,'[1]DATOS 1'!$B$13,IF(B14='[1]DATOS 1'!$C$14,'[1]DATOS 1'!$B$14,IF(B14='[1]DATOS 1'!$C$15,'[1]DATOS 1'!$B$15,IF(B14='[1]DATOS 1'!$C$16,'[1]DATOS 1'!$B$16,IF(B14='[1]DATOS 1'!$C$17,'[1]DATOS 1'!$B$17,IF(B14='[1]DATOS 1'!$C$18,'[1]DATOS 1'!$B$18,IF(B14='[1]DATOS 1'!$C$19,'[1]DATOS 1'!$B$19,IF(B14='[1]DATOS 1'!$C$20,'[1]DATOS 1'!$B$20,IF(B14='[1]DATOS 1'!$C$21,'[1]DATOS 1'!$B$21,IF(B14='[1]DATOS 1'!$C$22,'[1]DATOS 1'!$B$22,IF(B14='[1]DATOS 1'!$C$23,'[1]DATOS 1'!$B$23,IF(B14='[1]DATOS 1'!$C$24,'[1]DATOS 1'!$B$24,IF(B14='[1]DATOS 1'!$C$25,'[1]DATOS 1'!$B$25,IF(B14='[1]DATOS 1'!$C$26,'[1]DATOS 1'!$B$26,IF(B14='[1]DATOS 1'!$C$27,'[1]DATOS 1'!$B$27,IF(B14='[1]DATOS 1'!$C$28,'[1]DATOS 1'!$B$28,IF(B14='[1]DATOS 1'!$C$29,'[1]DATOS 1'!$B$29,IF(B14='[1]DATOS 1'!$C$30,'[1]DATOS 1'!$B$30,IF(B14='[1]DATOS 1'!$C$31,'[1]DATOS 1'!$B$31,IF(B14='[1]DATOS 1'!$C$32,'[1]DATOS 1'!$B$32,IF(B14='[1]DATOS 1'!$C$33,'[1]DATOS 1'!$B$33,IF(B14='[1]DATOS 1'!$C$34,'[1]DATOS 1'!$B$34,IF(B14='[1]DATOS 1'!$C$35,'[1]DATOS 1'!$B$35," ")))))))))))))))))))))))))))))))))</f>
        <v>DCD. INSTITUCIONAL</v>
      </c>
      <c r="D14" s="78" t="s">
        <v>122</v>
      </c>
      <c r="E14" s="2" t="s">
        <v>465</v>
      </c>
      <c r="F14" s="79" t="s">
        <v>551</v>
      </c>
      <c r="G14" s="79">
        <v>500</v>
      </c>
      <c r="H14" s="2"/>
      <c r="I14" s="94">
        <v>530804</v>
      </c>
      <c r="J14" s="71" t="s">
        <v>524</v>
      </c>
      <c r="K14" s="106">
        <v>1.175</v>
      </c>
      <c r="L14" s="106">
        <f t="shared" si="0"/>
        <v>587.5</v>
      </c>
    </row>
    <row r="15" spans="1:12" ht="30" x14ac:dyDescent="0.25">
      <c r="A15" s="49"/>
      <c r="B15" s="51" t="s">
        <v>147</v>
      </c>
      <c r="C15" s="50" t="str">
        <f>IF(B15='[1]DATOS 1'!$C$3,'[1]DATOS 1'!$B$3,IF(B15='[1]DATOS 1'!$C$4,'[1]DATOS 1'!$B$4,IF(B15='[1]DATOS 1'!$C$5,'[1]DATOS 1'!$B$5,IF(B15='[1]DATOS 1'!$C$6,'[1]DATOS 1'!$B$6,IF(B15='[1]DATOS 1'!$C$7,'[1]DATOS 1'!$B$7,IF(B15='[1]DATOS 1'!$C$8,'[1]DATOS 1'!$B$8,IF(B15='[1]DATOS 1'!$C$9,'[1]DATOS 1'!$B$9,IF(B15='[1]DATOS 1'!$C$10,'[1]DATOS 1'!$B$10,IF(B15='[1]DATOS 1'!$C$11,'[1]DATOS 1'!$B$11,IF(B15='[1]DATOS 1'!$C$12,'[1]DATOS 1'!$B$12,IF(B15='[1]DATOS 1'!$C$13,'[1]DATOS 1'!$B$13,IF(B15='[1]DATOS 1'!$C$14,'[1]DATOS 1'!$B$14,IF(B15='[1]DATOS 1'!$C$15,'[1]DATOS 1'!$B$15,IF(B15='[1]DATOS 1'!$C$16,'[1]DATOS 1'!$B$16,IF(B15='[1]DATOS 1'!$C$17,'[1]DATOS 1'!$B$17,IF(B15='[1]DATOS 1'!$C$18,'[1]DATOS 1'!$B$18,IF(B15='[1]DATOS 1'!$C$19,'[1]DATOS 1'!$B$19,IF(B15='[1]DATOS 1'!$C$20,'[1]DATOS 1'!$B$20,IF(B15='[1]DATOS 1'!$C$21,'[1]DATOS 1'!$B$21,IF(B15='[1]DATOS 1'!$C$22,'[1]DATOS 1'!$B$22,IF(B15='[1]DATOS 1'!$C$23,'[1]DATOS 1'!$B$23,IF(B15='[1]DATOS 1'!$C$24,'[1]DATOS 1'!$B$24,IF(B15='[1]DATOS 1'!$C$25,'[1]DATOS 1'!$B$25,IF(B15='[1]DATOS 1'!$C$26,'[1]DATOS 1'!$B$26,IF(B15='[1]DATOS 1'!$C$27,'[1]DATOS 1'!$B$27,IF(B15='[1]DATOS 1'!$C$28,'[1]DATOS 1'!$B$28,IF(B15='[1]DATOS 1'!$C$29,'[1]DATOS 1'!$B$29,IF(B15='[1]DATOS 1'!$C$30,'[1]DATOS 1'!$B$30,IF(B15='[1]DATOS 1'!$C$31,'[1]DATOS 1'!$B$31,IF(B15='[1]DATOS 1'!$C$32,'[1]DATOS 1'!$B$32,IF(B15='[1]DATOS 1'!$C$33,'[1]DATOS 1'!$B$33,IF(B15='[1]DATOS 1'!$C$34,'[1]DATOS 1'!$B$34,IF(B15='[1]DATOS 1'!$C$35,'[1]DATOS 1'!$B$35," ")))))))))))))))))))))))))))))))))</f>
        <v>DCD. INSTITUCIONAL</v>
      </c>
      <c r="D15" s="78" t="s">
        <v>122</v>
      </c>
      <c r="E15" s="2" t="s">
        <v>466</v>
      </c>
      <c r="F15" s="79" t="s">
        <v>551</v>
      </c>
      <c r="G15" s="79">
        <v>150</v>
      </c>
      <c r="H15" s="2"/>
      <c r="I15" s="94">
        <v>530804</v>
      </c>
      <c r="J15" s="71" t="s">
        <v>524</v>
      </c>
      <c r="K15" s="106">
        <v>0.66449999999999998</v>
      </c>
      <c r="L15" s="106">
        <f t="shared" si="0"/>
        <v>99.674999999999997</v>
      </c>
    </row>
    <row r="16" spans="1:12" ht="30" x14ac:dyDescent="0.25">
      <c r="A16" s="49"/>
      <c r="B16" s="51" t="s">
        <v>147</v>
      </c>
      <c r="C16" s="50" t="str">
        <f>IF(B16='[1]DATOS 1'!$C$3,'[1]DATOS 1'!$B$3,IF(B16='[1]DATOS 1'!$C$4,'[1]DATOS 1'!$B$4,IF(B16='[1]DATOS 1'!$C$5,'[1]DATOS 1'!$B$5,IF(B16='[1]DATOS 1'!$C$6,'[1]DATOS 1'!$B$6,IF(B16='[1]DATOS 1'!$C$7,'[1]DATOS 1'!$B$7,IF(B16='[1]DATOS 1'!$C$8,'[1]DATOS 1'!$B$8,IF(B16='[1]DATOS 1'!$C$9,'[1]DATOS 1'!$B$9,IF(B16='[1]DATOS 1'!$C$10,'[1]DATOS 1'!$B$10,IF(B16='[1]DATOS 1'!$C$11,'[1]DATOS 1'!$B$11,IF(B16='[1]DATOS 1'!$C$12,'[1]DATOS 1'!$B$12,IF(B16='[1]DATOS 1'!$C$13,'[1]DATOS 1'!$B$13,IF(B16='[1]DATOS 1'!$C$14,'[1]DATOS 1'!$B$14,IF(B16='[1]DATOS 1'!$C$15,'[1]DATOS 1'!$B$15,IF(B16='[1]DATOS 1'!$C$16,'[1]DATOS 1'!$B$16,IF(B16='[1]DATOS 1'!$C$17,'[1]DATOS 1'!$B$17,IF(B16='[1]DATOS 1'!$C$18,'[1]DATOS 1'!$B$18,IF(B16='[1]DATOS 1'!$C$19,'[1]DATOS 1'!$B$19,IF(B16='[1]DATOS 1'!$C$20,'[1]DATOS 1'!$B$20,IF(B16='[1]DATOS 1'!$C$21,'[1]DATOS 1'!$B$21,IF(B16='[1]DATOS 1'!$C$22,'[1]DATOS 1'!$B$22,IF(B16='[1]DATOS 1'!$C$23,'[1]DATOS 1'!$B$23,IF(B16='[1]DATOS 1'!$C$24,'[1]DATOS 1'!$B$24,IF(B16='[1]DATOS 1'!$C$25,'[1]DATOS 1'!$B$25,IF(B16='[1]DATOS 1'!$C$26,'[1]DATOS 1'!$B$26,IF(B16='[1]DATOS 1'!$C$27,'[1]DATOS 1'!$B$27,IF(B16='[1]DATOS 1'!$C$28,'[1]DATOS 1'!$B$28,IF(B16='[1]DATOS 1'!$C$29,'[1]DATOS 1'!$B$29,IF(B16='[1]DATOS 1'!$C$30,'[1]DATOS 1'!$B$30,IF(B16='[1]DATOS 1'!$C$31,'[1]DATOS 1'!$B$31,IF(B16='[1]DATOS 1'!$C$32,'[1]DATOS 1'!$B$32,IF(B16='[1]DATOS 1'!$C$33,'[1]DATOS 1'!$B$33,IF(B16='[1]DATOS 1'!$C$34,'[1]DATOS 1'!$B$34,IF(B16='[1]DATOS 1'!$C$35,'[1]DATOS 1'!$B$35," ")))))))))))))))))))))))))))))))))</f>
        <v>DCD. INSTITUCIONAL</v>
      </c>
      <c r="D16" s="78" t="s">
        <v>122</v>
      </c>
      <c r="E16" s="2" t="s">
        <v>467</v>
      </c>
      <c r="F16" s="79" t="s">
        <v>551</v>
      </c>
      <c r="G16" s="79">
        <v>300</v>
      </c>
      <c r="H16" s="2"/>
      <c r="I16" s="94">
        <v>530804</v>
      </c>
      <c r="J16" s="71" t="s">
        <v>524</v>
      </c>
      <c r="K16" s="106">
        <v>0.1681</v>
      </c>
      <c r="L16" s="106">
        <f t="shared" si="0"/>
        <v>50.43</v>
      </c>
    </row>
    <row r="17" spans="1:12" ht="45" x14ac:dyDescent="0.25">
      <c r="A17" s="49"/>
      <c r="B17" s="51" t="s">
        <v>147</v>
      </c>
      <c r="C17" s="50" t="str">
        <f>IF(B17='[1]DATOS 1'!$C$3,'[1]DATOS 1'!$B$3,IF(B17='[1]DATOS 1'!$C$4,'[1]DATOS 1'!$B$4,IF(B17='[1]DATOS 1'!$C$5,'[1]DATOS 1'!$B$5,IF(B17='[1]DATOS 1'!$C$6,'[1]DATOS 1'!$B$6,IF(B17='[1]DATOS 1'!$C$7,'[1]DATOS 1'!$B$7,IF(B17='[1]DATOS 1'!$C$8,'[1]DATOS 1'!$B$8,IF(B17='[1]DATOS 1'!$C$9,'[1]DATOS 1'!$B$9,IF(B17='[1]DATOS 1'!$C$10,'[1]DATOS 1'!$B$10,IF(B17='[1]DATOS 1'!$C$11,'[1]DATOS 1'!$B$11,IF(B17='[1]DATOS 1'!$C$12,'[1]DATOS 1'!$B$12,IF(B17='[1]DATOS 1'!$C$13,'[1]DATOS 1'!$B$13,IF(B17='[1]DATOS 1'!$C$14,'[1]DATOS 1'!$B$14,IF(B17='[1]DATOS 1'!$C$15,'[1]DATOS 1'!$B$15,IF(B17='[1]DATOS 1'!$C$16,'[1]DATOS 1'!$B$16,IF(B17='[1]DATOS 1'!$C$17,'[1]DATOS 1'!$B$17,IF(B17='[1]DATOS 1'!$C$18,'[1]DATOS 1'!$B$18,IF(B17='[1]DATOS 1'!$C$19,'[1]DATOS 1'!$B$19,IF(B17='[1]DATOS 1'!$C$20,'[1]DATOS 1'!$B$20,IF(B17='[1]DATOS 1'!$C$21,'[1]DATOS 1'!$B$21,IF(B17='[1]DATOS 1'!$C$22,'[1]DATOS 1'!$B$22,IF(B17='[1]DATOS 1'!$C$23,'[1]DATOS 1'!$B$23,IF(B17='[1]DATOS 1'!$C$24,'[1]DATOS 1'!$B$24,IF(B17='[1]DATOS 1'!$C$25,'[1]DATOS 1'!$B$25,IF(B17='[1]DATOS 1'!$C$26,'[1]DATOS 1'!$B$26,IF(B17='[1]DATOS 1'!$C$27,'[1]DATOS 1'!$B$27,IF(B17='[1]DATOS 1'!$C$28,'[1]DATOS 1'!$B$28,IF(B17='[1]DATOS 1'!$C$29,'[1]DATOS 1'!$B$29,IF(B17='[1]DATOS 1'!$C$30,'[1]DATOS 1'!$B$30,IF(B17='[1]DATOS 1'!$C$31,'[1]DATOS 1'!$B$31,IF(B17='[1]DATOS 1'!$C$32,'[1]DATOS 1'!$B$32,IF(B17='[1]DATOS 1'!$C$33,'[1]DATOS 1'!$B$33,IF(B17='[1]DATOS 1'!$C$34,'[1]DATOS 1'!$B$34,IF(B17='[1]DATOS 1'!$C$35,'[1]DATOS 1'!$B$35," ")))))))))))))))))))))))))))))))))</f>
        <v>DCD. INSTITUCIONAL</v>
      </c>
      <c r="D17" s="78" t="s">
        <v>122</v>
      </c>
      <c r="E17" s="2" t="s">
        <v>468</v>
      </c>
      <c r="F17" s="79" t="s">
        <v>551</v>
      </c>
      <c r="G17" s="79">
        <v>36</v>
      </c>
      <c r="H17" s="2"/>
      <c r="I17" s="94">
        <v>530804</v>
      </c>
      <c r="J17" s="71" t="s">
        <v>524</v>
      </c>
      <c r="K17" s="106">
        <v>0.59550000000000003</v>
      </c>
      <c r="L17" s="106">
        <f t="shared" si="0"/>
        <v>21.438000000000002</v>
      </c>
    </row>
    <row r="18" spans="1:12" ht="30" x14ac:dyDescent="0.25">
      <c r="A18" s="49"/>
      <c r="B18" s="51" t="s">
        <v>147</v>
      </c>
      <c r="C18" s="50" t="str">
        <f>IF(B18='[1]DATOS 1'!$C$3,'[1]DATOS 1'!$B$3,IF(B18='[1]DATOS 1'!$C$4,'[1]DATOS 1'!$B$4,IF(B18='[1]DATOS 1'!$C$5,'[1]DATOS 1'!$B$5,IF(B18='[1]DATOS 1'!$C$6,'[1]DATOS 1'!$B$6,IF(B18='[1]DATOS 1'!$C$7,'[1]DATOS 1'!$B$7,IF(B18='[1]DATOS 1'!$C$8,'[1]DATOS 1'!$B$8,IF(B18='[1]DATOS 1'!$C$9,'[1]DATOS 1'!$B$9,IF(B18='[1]DATOS 1'!$C$10,'[1]DATOS 1'!$B$10,IF(B18='[1]DATOS 1'!$C$11,'[1]DATOS 1'!$B$11,IF(B18='[1]DATOS 1'!$C$12,'[1]DATOS 1'!$B$12,IF(B18='[1]DATOS 1'!$C$13,'[1]DATOS 1'!$B$13,IF(B18='[1]DATOS 1'!$C$14,'[1]DATOS 1'!$B$14,IF(B18='[1]DATOS 1'!$C$15,'[1]DATOS 1'!$B$15,IF(B18='[1]DATOS 1'!$C$16,'[1]DATOS 1'!$B$16,IF(B18='[1]DATOS 1'!$C$17,'[1]DATOS 1'!$B$17,IF(B18='[1]DATOS 1'!$C$18,'[1]DATOS 1'!$B$18,IF(B18='[1]DATOS 1'!$C$19,'[1]DATOS 1'!$B$19,IF(B18='[1]DATOS 1'!$C$20,'[1]DATOS 1'!$B$20,IF(B18='[1]DATOS 1'!$C$21,'[1]DATOS 1'!$B$21,IF(B18='[1]DATOS 1'!$C$22,'[1]DATOS 1'!$B$22,IF(B18='[1]DATOS 1'!$C$23,'[1]DATOS 1'!$B$23,IF(B18='[1]DATOS 1'!$C$24,'[1]DATOS 1'!$B$24,IF(B18='[1]DATOS 1'!$C$25,'[1]DATOS 1'!$B$25,IF(B18='[1]DATOS 1'!$C$26,'[1]DATOS 1'!$B$26,IF(B18='[1]DATOS 1'!$C$27,'[1]DATOS 1'!$B$27,IF(B18='[1]DATOS 1'!$C$28,'[1]DATOS 1'!$B$28,IF(B18='[1]DATOS 1'!$C$29,'[1]DATOS 1'!$B$29,IF(B18='[1]DATOS 1'!$C$30,'[1]DATOS 1'!$B$30,IF(B18='[1]DATOS 1'!$C$31,'[1]DATOS 1'!$B$31,IF(B18='[1]DATOS 1'!$C$32,'[1]DATOS 1'!$B$32,IF(B18='[1]DATOS 1'!$C$33,'[1]DATOS 1'!$B$33,IF(B18='[1]DATOS 1'!$C$34,'[1]DATOS 1'!$B$34,IF(B18='[1]DATOS 1'!$C$35,'[1]DATOS 1'!$B$35," ")))))))))))))))))))))))))))))))))</f>
        <v>DCD. INSTITUCIONAL</v>
      </c>
      <c r="D18" s="78" t="s">
        <v>122</v>
      </c>
      <c r="E18" s="2" t="s">
        <v>552</v>
      </c>
      <c r="F18" s="79" t="s">
        <v>551</v>
      </c>
      <c r="G18" s="79">
        <v>300</v>
      </c>
      <c r="H18" s="2"/>
      <c r="I18" s="94">
        <v>530804</v>
      </c>
      <c r="J18" s="71" t="s">
        <v>524</v>
      </c>
      <c r="K18" s="106">
        <v>0.57299999999999995</v>
      </c>
      <c r="L18" s="106">
        <f t="shared" si="0"/>
        <v>171.89999999999998</v>
      </c>
    </row>
    <row r="19" spans="1:12" ht="30" x14ac:dyDescent="0.25">
      <c r="A19" s="49"/>
      <c r="B19" s="51" t="s">
        <v>147</v>
      </c>
      <c r="C19" s="50" t="str">
        <f>IF(B19='[1]DATOS 1'!$C$3,'[1]DATOS 1'!$B$3,IF(B19='[1]DATOS 1'!$C$4,'[1]DATOS 1'!$B$4,IF(B19='[1]DATOS 1'!$C$5,'[1]DATOS 1'!$B$5,IF(B19='[1]DATOS 1'!$C$6,'[1]DATOS 1'!$B$6,IF(B19='[1]DATOS 1'!$C$7,'[1]DATOS 1'!$B$7,IF(B19='[1]DATOS 1'!$C$8,'[1]DATOS 1'!$B$8,IF(B19='[1]DATOS 1'!$C$9,'[1]DATOS 1'!$B$9,IF(B19='[1]DATOS 1'!$C$10,'[1]DATOS 1'!$B$10,IF(B19='[1]DATOS 1'!$C$11,'[1]DATOS 1'!$B$11,IF(B19='[1]DATOS 1'!$C$12,'[1]DATOS 1'!$B$12,IF(B19='[1]DATOS 1'!$C$13,'[1]DATOS 1'!$B$13,IF(B19='[1]DATOS 1'!$C$14,'[1]DATOS 1'!$B$14,IF(B19='[1]DATOS 1'!$C$15,'[1]DATOS 1'!$B$15,IF(B19='[1]DATOS 1'!$C$16,'[1]DATOS 1'!$B$16,IF(B19='[1]DATOS 1'!$C$17,'[1]DATOS 1'!$B$17,IF(B19='[1]DATOS 1'!$C$18,'[1]DATOS 1'!$B$18,IF(B19='[1]DATOS 1'!$C$19,'[1]DATOS 1'!$B$19,IF(B19='[1]DATOS 1'!$C$20,'[1]DATOS 1'!$B$20,IF(B19='[1]DATOS 1'!$C$21,'[1]DATOS 1'!$B$21,IF(B19='[1]DATOS 1'!$C$22,'[1]DATOS 1'!$B$22,IF(B19='[1]DATOS 1'!$C$23,'[1]DATOS 1'!$B$23,IF(B19='[1]DATOS 1'!$C$24,'[1]DATOS 1'!$B$24,IF(B19='[1]DATOS 1'!$C$25,'[1]DATOS 1'!$B$25,IF(B19='[1]DATOS 1'!$C$26,'[1]DATOS 1'!$B$26,IF(B19='[1]DATOS 1'!$C$27,'[1]DATOS 1'!$B$27,IF(B19='[1]DATOS 1'!$C$28,'[1]DATOS 1'!$B$28,IF(B19='[1]DATOS 1'!$C$29,'[1]DATOS 1'!$B$29,IF(B19='[1]DATOS 1'!$C$30,'[1]DATOS 1'!$B$30,IF(B19='[1]DATOS 1'!$C$31,'[1]DATOS 1'!$B$31,IF(B19='[1]DATOS 1'!$C$32,'[1]DATOS 1'!$B$32,IF(B19='[1]DATOS 1'!$C$33,'[1]DATOS 1'!$B$33,IF(B19='[1]DATOS 1'!$C$34,'[1]DATOS 1'!$B$34,IF(B19='[1]DATOS 1'!$C$35,'[1]DATOS 1'!$B$35," ")))))))))))))))))))))))))))))))))</f>
        <v>DCD. INSTITUCIONAL</v>
      </c>
      <c r="D19" s="78" t="s">
        <v>122</v>
      </c>
      <c r="E19" s="2" t="s">
        <v>469</v>
      </c>
      <c r="F19" s="79" t="s">
        <v>551</v>
      </c>
      <c r="G19" s="79">
        <v>12</v>
      </c>
      <c r="H19" s="2"/>
      <c r="I19" s="94">
        <v>530804</v>
      </c>
      <c r="J19" s="71" t="s">
        <v>524</v>
      </c>
      <c r="K19" s="106">
        <v>0.22170000000000001</v>
      </c>
      <c r="L19" s="106">
        <f t="shared" si="0"/>
        <v>2.6604000000000001</v>
      </c>
    </row>
    <row r="20" spans="1:12" ht="30" x14ac:dyDescent="0.25">
      <c r="A20" s="49"/>
      <c r="B20" s="51" t="s">
        <v>147</v>
      </c>
      <c r="C20" s="50" t="str">
        <f>IF(B20='[1]DATOS 1'!$C$3,'[1]DATOS 1'!$B$3,IF(B20='[1]DATOS 1'!$C$4,'[1]DATOS 1'!$B$4,IF(B20='[1]DATOS 1'!$C$5,'[1]DATOS 1'!$B$5,IF(B20='[1]DATOS 1'!$C$6,'[1]DATOS 1'!$B$6,IF(B20='[1]DATOS 1'!$C$7,'[1]DATOS 1'!$B$7,IF(B20='[1]DATOS 1'!$C$8,'[1]DATOS 1'!$B$8,IF(B20='[1]DATOS 1'!$C$9,'[1]DATOS 1'!$B$9,IF(B20='[1]DATOS 1'!$C$10,'[1]DATOS 1'!$B$10,IF(B20='[1]DATOS 1'!$C$11,'[1]DATOS 1'!$B$11,IF(B20='[1]DATOS 1'!$C$12,'[1]DATOS 1'!$B$12,IF(B20='[1]DATOS 1'!$C$13,'[1]DATOS 1'!$B$13,IF(B20='[1]DATOS 1'!$C$14,'[1]DATOS 1'!$B$14,IF(B20='[1]DATOS 1'!$C$15,'[1]DATOS 1'!$B$15,IF(B20='[1]DATOS 1'!$C$16,'[1]DATOS 1'!$B$16,IF(B20='[1]DATOS 1'!$C$17,'[1]DATOS 1'!$B$17,IF(B20='[1]DATOS 1'!$C$18,'[1]DATOS 1'!$B$18,IF(B20='[1]DATOS 1'!$C$19,'[1]DATOS 1'!$B$19,IF(B20='[1]DATOS 1'!$C$20,'[1]DATOS 1'!$B$20,IF(B20='[1]DATOS 1'!$C$21,'[1]DATOS 1'!$B$21,IF(B20='[1]DATOS 1'!$C$22,'[1]DATOS 1'!$B$22,IF(B20='[1]DATOS 1'!$C$23,'[1]DATOS 1'!$B$23,IF(B20='[1]DATOS 1'!$C$24,'[1]DATOS 1'!$B$24,IF(B20='[1]DATOS 1'!$C$25,'[1]DATOS 1'!$B$25,IF(B20='[1]DATOS 1'!$C$26,'[1]DATOS 1'!$B$26,IF(B20='[1]DATOS 1'!$C$27,'[1]DATOS 1'!$B$27,IF(B20='[1]DATOS 1'!$C$28,'[1]DATOS 1'!$B$28,IF(B20='[1]DATOS 1'!$C$29,'[1]DATOS 1'!$B$29,IF(B20='[1]DATOS 1'!$C$30,'[1]DATOS 1'!$B$30,IF(B20='[1]DATOS 1'!$C$31,'[1]DATOS 1'!$B$31,IF(B20='[1]DATOS 1'!$C$32,'[1]DATOS 1'!$B$32,IF(B20='[1]DATOS 1'!$C$33,'[1]DATOS 1'!$B$33,IF(B20='[1]DATOS 1'!$C$34,'[1]DATOS 1'!$B$34,IF(B20='[1]DATOS 1'!$C$35,'[1]DATOS 1'!$B$35," ")))))))))))))))))))))))))))))))))</f>
        <v>DCD. INSTITUCIONAL</v>
      </c>
      <c r="D20" s="78" t="s">
        <v>122</v>
      </c>
      <c r="E20" s="2" t="s">
        <v>470</v>
      </c>
      <c r="F20" s="79" t="s">
        <v>551</v>
      </c>
      <c r="G20" s="79">
        <v>150</v>
      </c>
      <c r="H20" s="2"/>
      <c r="I20" s="94">
        <v>530804</v>
      </c>
      <c r="J20" s="71" t="s">
        <v>524</v>
      </c>
      <c r="K20" s="106">
        <v>9.6100000000000005E-2</v>
      </c>
      <c r="L20" s="106">
        <f t="shared" si="0"/>
        <v>14.415000000000001</v>
      </c>
    </row>
    <row r="21" spans="1:12" ht="45" x14ac:dyDescent="0.25">
      <c r="A21" s="49"/>
      <c r="B21" s="51" t="s">
        <v>147</v>
      </c>
      <c r="C21" s="50" t="str">
        <f>IF(B21='[1]DATOS 1'!$C$3,'[1]DATOS 1'!$B$3,IF(B21='[1]DATOS 1'!$C$4,'[1]DATOS 1'!$B$4,IF(B21='[1]DATOS 1'!$C$5,'[1]DATOS 1'!$B$5,IF(B21='[1]DATOS 1'!$C$6,'[1]DATOS 1'!$B$6,IF(B21='[1]DATOS 1'!$C$7,'[1]DATOS 1'!$B$7,IF(B21='[1]DATOS 1'!$C$8,'[1]DATOS 1'!$B$8,IF(B21='[1]DATOS 1'!$C$9,'[1]DATOS 1'!$B$9,IF(B21='[1]DATOS 1'!$C$10,'[1]DATOS 1'!$B$10,IF(B21='[1]DATOS 1'!$C$11,'[1]DATOS 1'!$B$11,IF(B21='[1]DATOS 1'!$C$12,'[1]DATOS 1'!$B$12,IF(B21='[1]DATOS 1'!$C$13,'[1]DATOS 1'!$B$13,IF(B21='[1]DATOS 1'!$C$14,'[1]DATOS 1'!$B$14,IF(B21='[1]DATOS 1'!$C$15,'[1]DATOS 1'!$B$15,IF(B21='[1]DATOS 1'!$C$16,'[1]DATOS 1'!$B$16,IF(B21='[1]DATOS 1'!$C$17,'[1]DATOS 1'!$B$17,IF(B21='[1]DATOS 1'!$C$18,'[1]DATOS 1'!$B$18,IF(B21='[1]DATOS 1'!$C$19,'[1]DATOS 1'!$B$19,IF(B21='[1]DATOS 1'!$C$20,'[1]DATOS 1'!$B$20,IF(B21='[1]DATOS 1'!$C$21,'[1]DATOS 1'!$B$21,IF(B21='[1]DATOS 1'!$C$22,'[1]DATOS 1'!$B$22,IF(B21='[1]DATOS 1'!$C$23,'[1]DATOS 1'!$B$23,IF(B21='[1]DATOS 1'!$C$24,'[1]DATOS 1'!$B$24,IF(B21='[1]DATOS 1'!$C$25,'[1]DATOS 1'!$B$25,IF(B21='[1]DATOS 1'!$C$26,'[1]DATOS 1'!$B$26,IF(B21='[1]DATOS 1'!$C$27,'[1]DATOS 1'!$B$27,IF(B21='[1]DATOS 1'!$C$28,'[1]DATOS 1'!$B$28,IF(B21='[1]DATOS 1'!$C$29,'[1]DATOS 1'!$B$29,IF(B21='[1]DATOS 1'!$C$30,'[1]DATOS 1'!$B$30,IF(B21='[1]DATOS 1'!$C$31,'[1]DATOS 1'!$B$31,IF(B21='[1]DATOS 1'!$C$32,'[1]DATOS 1'!$B$32,IF(B21='[1]DATOS 1'!$C$33,'[1]DATOS 1'!$B$33,IF(B21='[1]DATOS 1'!$C$34,'[1]DATOS 1'!$B$34,IF(B21='[1]DATOS 1'!$C$35,'[1]DATOS 1'!$B$35," ")))))))))))))))))))))))))))))))))</f>
        <v>DCD. INSTITUCIONAL</v>
      </c>
      <c r="D21" s="78" t="s">
        <v>122</v>
      </c>
      <c r="E21" s="2" t="s">
        <v>471</v>
      </c>
      <c r="F21" s="79" t="s">
        <v>551</v>
      </c>
      <c r="G21" s="79">
        <v>50</v>
      </c>
      <c r="H21" s="2"/>
      <c r="I21" s="94">
        <v>530804</v>
      </c>
      <c r="J21" s="71" t="s">
        <v>524</v>
      </c>
      <c r="K21" s="106">
        <v>0.30559999999999998</v>
      </c>
      <c r="L21" s="106">
        <f t="shared" si="0"/>
        <v>15.28</v>
      </c>
    </row>
    <row r="22" spans="1:12" ht="45" x14ac:dyDescent="0.25">
      <c r="A22" s="49"/>
      <c r="B22" s="51" t="s">
        <v>147</v>
      </c>
      <c r="C22" s="50" t="str">
        <f>IF(B22='[1]DATOS 1'!$C$3,'[1]DATOS 1'!$B$3,IF(B22='[1]DATOS 1'!$C$4,'[1]DATOS 1'!$B$4,IF(B22='[1]DATOS 1'!$C$5,'[1]DATOS 1'!$B$5,IF(B22='[1]DATOS 1'!$C$6,'[1]DATOS 1'!$B$6,IF(B22='[1]DATOS 1'!$C$7,'[1]DATOS 1'!$B$7,IF(B22='[1]DATOS 1'!$C$8,'[1]DATOS 1'!$B$8,IF(B22='[1]DATOS 1'!$C$9,'[1]DATOS 1'!$B$9,IF(B22='[1]DATOS 1'!$C$10,'[1]DATOS 1'!$B$10,IF(B22='[1]DATOS 1'!$C$11,'[1]DATOS 1'!$B$11,IF(B22='[1]DATOS 1'!$C$12,'[1]DATOS 1'!$B$12,IF(B22='[1]DATOS 1'!$C$13,'[1]DATOS 1'!$B$13,IF(B22='[1]DATOS 1'!$C$14,'[1]DATOS 1'!$B$14,IF(B22='[1]DATOS 1'!$C$15,'[1]DATOS 1'!$B$15,IF(B22='[1]DATOS 1'!$C$16,'[1]DATOS 1'!$B$16,IF(B22='[1]DATOS 1'!$C$17,'[1]DATOS 1'!$B$17,IF(B22='[1]DATOS 1'!$C$18,'[1]DATOS 1'!$B$18,IF(B22='[1]DATOS 1'!$C$19,'[1]DATOS 1'!$B$19,IF(B22='[1]DATOS 1'!$C$20,'[1]DATOS 1'!$B$20,IF(B22='[1]DATOS 1'!$C$21,'[1]DATOS 1'!$B$21,IF(B22='[1]DATOS 1'!$C$22,'[1]DATOS 1'!$B$22,IF(B22='[1]DATOS 1'!$C$23,'[1]DATOS 1'!$B$23,IF(B22='[1]DATOS 1'!$C$24,'[1]DATOS 1'!$B$24,IF(B22='[1]DATOS 1'!$C$25,'[1]DATOS 1'!$B$25,IF(B22='[1]DATOS 1'!$C$26,'[1]DATOS 1'!$B$26,IF(B22='[1]DATOS 1'!$C$27,'[1]DATOS 1'!$B$27,IF(B22='[1]DATOS 1'!$C$28,'[1]DATOS 1'!$B$28,IF(B22='[1]DATOS 1'!$C$29,'[1]DATOS 1'!$B$29,IF(B22='[1]DATOS 1'!$C$30,'[1]DATOS 1'!$B$30,IF(B22='[1]DATOS 1'!$C$31,'[1]DATOS 1'!$B$31,IF(B22='[1]DATOS 1'!$C$32,'[1]DATOS 1'!$B$32,IF(B22='[1]DATOS 1'!$C$33,'[1]DATOS 1'!$B$33,IF(B22='[1]DATOS 1'!$C$34,'[1]DATOS 1'!$B$34,IF(B22='[1]DATOS 1'!$C$35,'[1]DATOS 1'!$B$35," ")))))))))))))))))))))))))))))))))</f>
        <v>DCD. INSTITUCIONAL</v>
      </c>
      <c r="D22" s="78" t="s">
        <v>122</v>
      </c>
      <c r="E22" s="2" t="s">
        <v>472</v>
      </c>
      <c r="F22" s="79" t="s">
        <v>551</v>
      </c>
      <c r="G22" s="79">
        <v>60</v>
      </c>
      <c r="H22" s="2"/>
      <c r="I22" s="94">
        <v>530804</v>
      </c>
      <c r="J22" s="71" t="s">
        <v>524</v>
      </c>
      <c r="K22" s="106">
        <v>0.26790000000000003</v>
      </c>
      <c r="L22" s="106">
        <f t="shared" si="0"/>
        <v>16.074000000000002</v>
      </c>
    </row>
    <row r="23" spans="1:12" ht="30" x14ac:dyDescent="0.25">
      <c r="A23" s="49"/>
      <c r="B23" s="51" t="s">
        <v>147</v>
      </c>
      <c r="C23" s="50" t="str">
        <f>IF(B23='[1]DATOS 1'!$C$3,'[1]DATOS 1'!$B$3,IF(B23='[1]DATOS 1'!$C$4,'[1]DATOS 1'!$B$4,IF(B23='[1]DATOS 1'!$C$5,'[1]DATOS 1'!$B$5,IF(B23='[1]DATOS 1'!$C$6,'[1]DATOS 1'!$B$6,IF(B23='[1]DATOS 1'!$C$7,'[1]DATOS 1'!$B$7,IF(B23='[1]DATOS 1'!$C$8,'[1]DATOS 1'!$B$8,IF(B23='[1]DATOS 1'!$C$9,'[1]DATOS 1'!$B$9,IF(B23='[1]DATOS 1'!$C$10,'[1]DATOS 1'!$B$10,IF(B23='[1]DATOS 1'!$C$11,'[1]DATOS 1'!$B$11,IF(B23='[1]DATOS 1'!$C$12,'[1]DATOS 1'!$B$12,IF(B23='[1]DATOS 1'!$C$13,'[1]DATOS 1'!$B$13,IF(B23='[1]DATOS 1'!$C$14,'[1]DATOS 1'!$B$14,IF(B23='[1]DATOS 1'!$C$15,'[1]DATOS 1'!$B$15,IF(B23='[1]DATOS 1'!$C$16,'[1]DATOS 1'!$B$16,IF(B23='[1]DATOS 1'!$C$17,'[1]DATOS 1'!$B$17,IF(B23='[1]DATOS 1'!$C$18,'[1]DATOS 1'!$B$18,IF(B23='[1]DATOS 1'!$C$19,'[1]DATOS 1'!$B$19,IF(B23='[1]DATOS 1'!$C$20,'[1]DATOS 1'!$B$20,IF(B23='[1]DATOS 1'!$C$21,'[1]DATOS 1'!$B$21,IF(B23='[1]DATOS 1'!$C$22,'[1]DATOS 1'!$B$22,IF(B23='[1]DATOS 1'!$C$23,'[1]DATOS 1'!$B$23,IF(B23='[1]DATOS 1'!$C$24,'[1]DATOS 1'!$B$24,IF(B23='[1]DATOS 1'!$C$25,'[1]DATOS 1'!$B$25,IF(B23='[1]DATOS 1'!$C$26,'[1]DATOS 1'!$B$26,IF(B23='[1]DATOS 1'!$C$27,'[1]DATOS 1'!$B$27,IF(B23='[1]DATOS 1'!$C$28,'[1]DATOS 1'!$B$28,IF(B23='[1]DATOS 1'!$C$29,'[1]DATOS 1'!$B$29,IF(B23='[1]DATOS 1'!$C$30,'[1]DATOS 1'!$B$30,IF(B23='[1]DATOS 1'!$C$31,'[1]DATOS 1'!$B$31,IF(B23='[1]DATOS 1'!$C$32,'[1]DATOS 1'!$B$32,IF(B23='[1]DATOS 1'!$C$33,'[1]DATOS 1'!$B$33,IF(B23='[1]DATOS 1'!$C$34,'[1]DATOS 1'!$B$34,IF(B23='[1]DATOS 1'!$C$35,'[1]DATOS 1'!$B$35," ")))))))))))))))))))))))))))))))))</f>
        <v>DCD. INSTITUCIONAL</v>
      </c>
      <c r="D23" s="78" t="s">
        <v>122</v>
      </c>
      <c r="E23" s="2" t="s">
        <v>553</v>
      </c>
      <c r="F23" s="79" t="s">
        <v>551</v>
      </c>
      <c r="G23" s="79">
        <v>60</v>
      </c>
      <c r="H23" s="2"/>
      <c r="I23" s="94">
        <v>530804</v>
      </c>
      <c r="J23" s="71" t="s">
        <v>524</v>
      </c>
      <c r="K23" s="106">
        <v>0.82689999999999997</v>
      </c>
      <c r="L23" s="106">
        <f t="shared" si="0"/>
        <v>49.613999999999997</v>
      </c>
    </row>
    <row r="24" spans="1:12" ht="30" x14ac:dyDescent="0.25">
      <c r="A24" s="49"/>
      <c r="B24" s="51" t="s">
        <v>147</v>
      </c>
      <c r="C24" s="50" t="str">
        <f>IF(B24='[1]DATOS 1'!$C$3,'[1]DATOS 1'!$B$3,IF(B24='[1]DATOS 1'!$C$4,'[1]DATOS 1'!$B$4,IF(B24='[1]DATOS 1'!$C$5,'[1]DATOS 1'!$B$5,IF(B24='[1]DATOS 1'!$C$6,'[1]DATOS 1'!$B$6,IF(B24='[1]DATOS 1'!$C$7,'[1]DATOS 1'!$B$7,IF(B24='[1]DATOS 1'!$C$8,'[1]DATOS 1'!$B$8,IF(B24='[1]DATOS 1'!$C$9,'[1]DATOS 1'!$B$9,IF(B24='[1]DATOS 1'!$C$10,'[1]DATOS 1'!$B$10,IF(B24='[1]DATOS 1'!$C$11,'[1]DATOS 1'!$B$11,IF(B24='[1]DATOS 1'!$C$12,'[1]DATOS 1'!$B$12,IF(B24='[1]DATOS 1'!$C$13,'[1]DATOS 1'!$B$13,IF(B24='[1]DATOS 1'!$C$14,'[1]DATOS 1'!$B$14,IF(B24='[1]DATOS 1'!$C$15,'[1]DATOS 1'!$B$15,IF(B24='[1]DATOS 1'!$C$16,'[1]DATOS 1'!$B$16,IF(B24='[1]DATOS 1'!$C$17,'[1]DATOS 1'!$B$17,IF(B24='[1]DATOS 1'!$C$18,'[1]DATOS 1'!$B$18,IF(B24='[1]DATOS 1'!$C$19,'[1]DATOS 1'!$B$19,IF(B24='[1]DATOS 1'!$C$20,'[1]DATOS 1'!$B$20,IF(B24='[1]DATOS 1'!$C$21,'[1]DATOS 1'!$B$21,IF(B24='[1]DATOS 1'!$C$22,'[1]DATOS 1'!$B$22,IF(B24='[1]DATOS 1'!$C$23,'[1]DATOS 1'!$B$23,IF(B24='[1]DATOS 1'!$C$24,'[1]DATOS 1'!$B$24,IF(B24='[1]DATOS 1'!$C$25,'[1]DATOS 1'!$B$25,IF(B24='[1]DATOS 1'!$C$26,'[1]DATOS 1'!$B$26,IF(B24='[1]DATOS 1'!$C$27,'[1]DATOS 1'!$B$27,IF(B24='[1]DATOS 1'!$C$28,'[1]DATOS 1'!$B$28,IF(B24='[1]DATOS 1'!$C$29,'[1]DATOS 1'!$B$29,IF(B24='[1]DATOS 1'!$C$30,'[1]DATOS 1'!$B$30,IF(B24='[1]DATOS 1'!$C$31,'[1]DATOS 1'!$B$31,IF(B24='[1]DATOS 1'!$C$32,'[1]DATOS 1'!$B$32,IF(B24='[1]DATOS 1'!$C$33,'[1]DATOS 1'!$B$33,IF(B24='[1]DATOS 1'!$C$34,'[1]DATOS 1'!$B$34,IF(B24='[1]DATOS 1'!$C$35,'[1]DATOS 1'!$B$35," ")))))))))))))))))))))))))))))))))</f>
        <v>DCD. INSTITUCIONAL</v>
      </c>
      <c r="D24" s="78" t="s">
        <v>122</v>
      </c>
      <c r="E24" s="2" t="s">
        <v>473</v>
      </c>
      <c r="F24" s="79" t="s">
        <v>551</v>
      </c>
      <c r="G24" s="79">
        <v>100</v>
      </c>
      <c r="H24" s="2"/>
      <c r="I24" s="94">
        <v>530804</v>
      </c>
      <c r="J24" s="71" t="s">
        <v>524</v>
      </c>
      <c r="K24" s="106">
        <v>1.47</v>
      </c>
      <c r="L24" s="106">
        <f t="shared" si="0"/>
        <v>147</v>
      </c>
    </row>
    <row r="25" spans="1:12" ht="30" x14ac:dyDescent="0.25">
      <c r="A25" s="49"/>
      <c r="B25" s="51" t="s">
        <v>147</v>
      </c>
      <c r="C25" s="50" t="str">
        <f>IF(B25='[1]DATOS 1'!$C$3,'[1]DATOS 1'!$B$3,IF(B25='[1]DATOS 1'!$C$4,'[1]DATOS 1'!$B$4,IF(B25='[1]DATOS 1'!$C$5,'[1]DATOS 1'!$B$5,IF(B25='[1]DATOS 1'!$C$6,'[1]DATOS 1'!$B$6,IF(B25='[1]DATOS 1'!$C$7,'[1]DATOS 1'!$B$7,IF(B25='[1]DATOS 1'!$C$8,'[1]DATOS 1'!$B$8,IF(B25='[1]DATOS 1'!$C$9,'[1]DATOS 1'!$B$9,IF(B25='[1]DATOS 1'!$C$10,'[1]DATOS 1'!$B$10,IF(B25='[1]DATOS 1'!$C$11,'[1]DATOS 1'!$B$11,IF(B25='[1]DATOS 1'!$C$12,'[1]DATOS 1'!$B$12,IF(B25='[1]DATOS 1'!$C$13,'[1]DATOS 1'!$B$13,IF(B25='[1]DATOS 1'!$C$14,'[1]DATOS 1'!$B$14,IF(B25='[1]DATOS 1'!$C$15,'[1]DATOS 1'!$B$15,IF(B25='[1]DATOS 1'!$C$16,'[1]DATOS 1'!$B$16,IF(B25='[1]DATOS 1'!$C$17,'[1]DATOS 1'!$B$17,IF(B25='[1]DATOS 1'!$C$18,'[1]DATOS 1'!$B$18,IF(B25='[1]DATOS 1'!$C$19,'[1]DATOS 1'!$B$19,IF(B25='[1]DATOS 1'!$C$20,'[1]DATOS 1'!$B$20,IF(B25='[1]DATOS 1'!$C$21,'[1]DATOS 1'!$B$21,IF(B25='[1]DATOS 1'!$C$22,'[1]DATOS 1'!$B$22,IF(B25='[1]DATOS 1'!$C$23,'[1]DATOS 1'!$B$23,IF(B25='[1]DATOS 1'!$C$24,'[1]DATOS 1'!$B$24,IF(B25='[1]DATOS 1'!$C$25,'[1]DATOS 1'!$B$25,IF(B25='[1]DATOS 1'!$C$26,'[1]DATOS 1'!$B$26,IF(B25='[1]DATOS 1'!$C$27,'[1]DATOS 1'!$B$27,IF(B25='[1]DATOS 1'!$C$28,'[1]DATOS 1'!$B$28,IF(B25='[1]DATOS 1'!$C$29,'[1]DATOS 1'!$B$29,IF(B25='[1]DATOS 1'!$C$30,'[1]DATOS 1'!$B$30,IF(B25='[1]DATOS 1'!$C$31,'[1]DATOS 1'!$B$31,IF(B25='[1]DATOS 1'!$C$32,'[1]DATOS 1'!$B$32,IF(B25='[1]DATOS 1'!$C$33,'[1]DATOS 1'!$B$33,IF(B25='[1]DATOS 1'!$C$34,'[1]DATOS 1'!$B$34,IF(B25='[1]DATOS 1'!$C$35,'[1]DATOS 1'!$B$35," ")))))))))))))))))))))))))))))))))</f>
        <v>DCD. INSTITUCIONAL</v>
      </c>
      <c r="D25" s="78" t="s">
        <v>122</v>
      </c>
      <c r="E25" s="2" t="s">
        <v>474</v>
      </c>
      <c r="F25" s="79" t="s">
        <v>551</v>
      </c>
      <c r="G25" s="79">
        <v>24</v>
      </c>
      <c r="H25" s="2"/>
      <c r="I25" s="94">
        <v>530804</v>
      </c>
      <c r="J25" s="71" t="s">
        <v>524</v>
      </c>
      <c r="K25" s="106">
        <v>0.47920000000000001</v>
      </c>
      <c r="L25" s="106">
        <f t="shared" si="0"/>
        <v>11.5008</v>
      </c>
    </row>
    <row r="26" spans="1:12" ht="45" x14ac:dyDescent="0.25">
      <c r="A26" s="49"/>
      <c r="B26" s="51" t="s">
        <v>147</v>
      </c>
      <c r="C26" s="50" t="str">
        <f>IF(B26='[1]DATOS 1'!$C$3,'[1]DATOS 1'!$B$3,IF(B26='[1]DATOS 1'!$C$4,'[1]DATOS 1'!$B$4,IF(B26='[1]DATOS 1'!$C$5,'[1]DATOS 1'!$B$5,IF(B26='[1]DATOS 1'!$C$6,'[1]DATOS 1'!$B$6,IF(B26='[1]DATOS 1'!$C$7,'[1]DATOS 1'!$B$7,IF(B26='[1]DATOS 1'!$C$8,'[1]DATOS 1'!$B$8,IF(B26='[1]DATOS 1'!$C$9,'[1]DATOS 1'!$B$9,IF(B26='[1]DATOS 1'!$C$10,'[1]DATOS 1'!$B$10,IF(B26='[1]DATOS 1'!$C$11,'[1]DATOS 1'!$B$11,IF(B26='[1]DATOS 1'!$C$12,'[1]DATOS 1'!$B$12,IF(B26='[1]DATOS 1'!$C$13,'[1]DATOS 1'!$B$13,IF(B26='[1]DATOS 1'!$C$14,'[1]DATOS 1'!$B$14,IF(B26='[1]DATOS 1'!$C$15,'[1]DATOS 1'!$B$15,IF(B26='[1]DATOS 1'!$C$16,'[1]DATOS 1'!$B$16,IF(B26='[1]DATOS 1'!$C$17,'[1]DATOS 1'!$B$17,IF(B26='[1]DATOS 1'!$C$18,'[1]DATOS 1'!$B$18,IF(B26='[1]DATOS 1'!$C$19,'[1]DATOS 1'!$B$19,IF(B26='[1]DATOS 1'!$C$20,'[1]DATOS 1'!$B$20,IF(B26='[1]DATOS 1'!$C$21,'[1]DATOS 1'!$B$21,IF(B26='[1]DATOS 1'!$C$22,'[1]DATOS 1'!$B$22,IF(B26='[1]DATOS 1'!$C$23,'[1]DATOS 1'!$B$23,IF(B26='[1]DATOS 1'!$C$24,'[1]DATOS 1'!$B$24,IF(B26='[1]DATOS 1'!$C$25,'[1]DATOS 1'!$B$25,IF(B26='[1]DATOS 1'!$C$26,'[1]DATOS 1'!$B$26,IF(B26='[1]DATOS 1'!$C$27,'[1]DATOS 1'!$B$27,IF(B26='[1]DATOS 1'!$C$28,'[1]DATOS 1'!$B$28,IF(B26='[1]DATOS 1'!$C$29,'[1]DATOS 1'!$B$29,IF(B26='[1]DATOS 1'!$C$30,'[1]DATOS 1'!$B$30,IF(B26='[1]DATOS 1'!$C$31,'[1]DATOS 1'!$B$31,IF(B26='[1]DATOS 1'!$C$32,'[1]DATOS 1'!$B$32,IF(B26='[1]DATOS 1'!$C$33,'[1]DATOS 1'!$B$33,IF(B26='[1]DATOS 1'!$C$34,'[1]DATOS 1'!$B$34,IF(B26='[1]DATOS 1'!$C$35,'[1]DATOS 1'!$B$35," ")))))))))))))))))))))))))))))))))</f>
        <v>DCD. INSTITUCIONAL</v>
      </c>
      <c r="D26" s="78" t="s">
        <v>122</v>
      </c>
      <c r="E26" s="2" t="s">
        <v>475</v>
      </c>
      <c r="F26" s="79" t="s">
        <v>551</v>
      </c>
      <c r="G26" s="79">
        <v>36</v>
      </c>
      <c r="H26" s="2"/>
      <c r="I26" s="94">
        <v>530804</v>
      </c>
      <c r="J26" s="71" t="s">
        <v>524</v>
      </c>
      <c r="K26" s="106">
        <v>0.1061</v>
      </c>
      <c r="L26" s="106">
        <f t="shared" si="0"/>
        <v>3.8195999999999999</v>
      </c>
    </row>
    <row r="27" spans="1:12" ht="45" x14ac:dyDescent="0.25">
      <c r="A27" s="49"/>
      <c r="B27" s="51" t="s">
        <v>147</v>
      </c>
      <c r="C27" s="50" t="str">
        <f>IF(B27='[1]DATOS 1'!$C$3,'[1]DATOS 1'!$B$3,IF(B27='[1]DATOS 1'!$C$4,'[1]DATOS 1'!$B$4,IF(B27='[1]DATOS 1'!$C$5,'[1]DATOS 1'!$B$5,IF(B27='[1]DATOS 1'!$C$6,'[1]DATOS 1'!$B$6,IF(B27='[1]DATOS 1'!$C$7,'[1]DATOS 1'!$B$7,IF(B27='[1]DATOS 1'!$C$8,'[1]DATOS 1'!$B$8,IF(B27='[1]DATOS 1'!$C$9,'[1]DATOS 1'!$B$9,IF(B27='[1]DATOS 1'!$C$10,'[1]DATOS 1'!$B$10,IF(B27='[1]DATOS 1'!$C$11,'[1]DATOS 1'!$B$11,IF(B27='[1]DATOS 1'!$C$12,'[1]DATOS 1'!$B$12,IF(B27='[1]DATOS 1'!$C$13,'[1]DATOS 1'!$B$13,IF(B27='[1]DATOS 1'!$C$14,'[1]DATOS 1'!$B$14,IF(B27='[1]DATOS 1'!$C$15,'[1]DATOS 1'!$B$15,IF(B27='[1]DATOS 1'!$C$16,'[1]DATOS 1'!$B$16,IF(B27='[1]DATOS 1'!$C$17,'[1]DATOS 1'!$B$17,IF(B27='[1]DATOS 1'!$C$18,'[1]DATOS 1'!$B$18,IF(B27='[1]DATOS 1'!$C$19,'[1]DATOS 1'!$B$19,IF(B27='[1]DATOS 1'!$C$20,'[1]DATOS 1'!$B$20,IF(B27='[1]DATOS 1'!$C$21,'[1]DATOS 1'!$B$21,IF(B27='[1]DATOS 1'!$C$22,'[1]DATOS 1'!$B$22,IF(B27='[1]DATOS 1'!$C$23,'[1]DATOS 1'!$B$23,IF(B27='[1]DATOS 1'!$C$24,'[1]DATOS 1'!$B$24,IF(B27='[1]DATOS 1'!$C$25,'[1]DATOS 1'!$B$25,IF(B27='[1]DATOS 1'!$C$26,'[1]DATOS 1'!$B$26,IF(B27='[1]DATOS 1'!$C$27,'[1]DATOS 1'!$B$27,IF(B27='[1]DATOS 1'!$C$28,'[1]DATOS 1'!$B$28,IF(B27='[1]DATOS 1'!$C$29,'[1]DATOS 1'!$B$29,IF(B27='[1]DATOS 1'!$C$30,'[1]DATOS 1'!$B$30,IF(B27='[1]DATOS 1'!$C$31,'[1]DATOS 1'!$B$31,IF(B27='[1]DATOS 1'!$C$32,'[1]DATOS 1'!$B$32,IF(B27='[1]DATOS 1'!$C$33,'[1]DATOS 1'!$B$33,IF(B27='[1]DATOS 1'!$C$34,'[1]DATOS 1'!$B$34,IF(B27='[1]DATOS 1'!$C$35,'[1]DATOS 1'!$B$35," ")))))))))))))))))))))))))))))))))</f>
        <v>DCD. INSTITUCIONAL</v>
      </c>
      <c r="D27" s="78" t="s">
        <v>122</v>
      </c>
      <c r="E27" s="2" t="s">
        <v>476</v>
      </c>
      <c r="F27" s="79" t="s">
        <v>551</v>
      </c>
      <c r="G27" s="79">
        <v>24</v>
      </c>
      <c r="H27" s="2"/>
      <c r="I27" s="94">
        <v>530804</v>
      </c>
      <c r="J27" s="71" t="s">
        <v>524</v>
      </c>
      <c r="K27" s="106">
        <v>0.50829999999999997</v>
      </c>
      <c r="L27" s="106">
        <f t="shared" si="0"/>
        <v>12.199199999999999</v>
      </c>
    </row>
    <row r="28" spans="1:12" ht="30" x14ac:dyDescent="0.25">
      <c r="A28" s="49"/>
      <c r="B28" s="51" t="s">
        <v>147</v>
      </c>
      <c r="C28" s="50" t="str">
        <f>IF(B28='[1]DATOS 1'!$C$3,'[1]DATOS 1'!$B$3,IF(B28='[1]DATOS 1'!$C$4,'[1]DATOS 1'!$B$4,IF(B28='[1]DATOS 1'!$C$5,'[1]DATOS 1'!$B$5,IF(B28='[1]DATOS 1'!$C$6,'[1]DATOS 1'!$B$6,IF(B28='[1]DATOS 1'!$C$7,'[1]DATOS 1'!$B$7,IF(B28='[1]DATOS 1'!$C$8,'[1]DATOS 1'!$B$8,IF(B28='[1]DATOS 1'!$C$9,'[1]DATOS 1'!$B$9,IF(B28='[1]DATOS 1'!$C$10,'[1]DATOS 1'!$B$10,IF(B28='[1]DATOS 1'!$C$11,'[1]DATOS 1'!$B$11,IF(B28='[1]DATOS 1'!$C$12,'[1]DATOS 1'!$B$12,IF(B28='[1]DATOS 1'!$C$13,'[1]DATOS 1'!$B$13,IF(B28='[1]DATOS 1'!$C$14,'[1]DATOS 1'!$B$14,IF(B28='[1]DATOS 1'!$C$15,'[1]DATOS 1'!$B$15,IF(B28='[1]DATOS 1'!$C$16,'[1]DATOS 1'!$B$16,IF(B28='[1]DATOS 1'!$C$17,'[1]DATOS 1'!$B$17,IF(B28='[1]DATOS 1'!$C$18,'[1]DATOS 1'!$B$18,IF(B28='[1]DATOS 1'!$C$19,'[1]DATOS 1'!$B$19,IF(B28='[1]DATOS 1'!$C$20,'[1]DATOS 1'!$B$20,IF(B28='[1]DATOS 1'!$C$21,'[1]DATOS 1'!$B$21,IF(B28='[1]DATOS 1'!$C$22,'[1]DATOS 1'!$B$22,IF(B28='[1]DATOS 1'!$C$23,'[1]DATOS 1'!$B$23,IF(B28='[1]DATOS 1'!$C$24,'[1]DATOS 1'!$B$24,IF(B28='[1]DATOS 1'!$C$25,'[1]DATOS 1'!$B$25,IF(B28='[1]DATOS 1'!$C$26,'[1]DATOS 1'!$B$26,IF(B28='[1]DATOS 1'!$C$27,'[1]DATOS 1'!$B$27,IF(B28='[1]DATOS 1'!$C$28,'[1]DATOS 1'!$B$28,IF(B28='[1]DATOS 1'!$C$29,'[1]DATOS 1'!$B$29,IF(B28='[1]DATOS 1'!$C$30,'[1]DATOS 1'!$B$30,IF(B28='[1]DATOS 1'!$C$31,'[1]DATOS 1'!$B$31,IF(B28='[1]DATOS 1'!$C$32,'[1]DATOS 1'!$B$32,IF(B28='[1]DATOS 1'!$C$33,'[1]DATOS 1'!$B$33,IF(B28='[1]DATOS 1'!$C$34,'[1]DATOS 1'!$B$34,IF(B28='[1]DATOS 1'!$C$35,'[1]DATOS 1'!$B$35," ")))))))))))))))))))))))))))))))))</f>
        <v>DCD. INSTITUCIONAL</v>
      </c>
      <c r="D28" s="78" t="s">
        <v>122</v>
      </c>
      <c r="E28" s="2" t="s">
        <v>477</v>
      </c>
      <c r="F28" s="79" t="s">
        <v>551</v>
      </c>
      <c r="G28" s="79">
        <v>1500</v>
      </c>
      <c r="H28" s="2"/>
      <c r="I28" s="94">
        <v>530804</v>
      </c>
      <c r="J28" s="71" t="s">
        <v>524</v>
      </c>
      <c r="K28" s="106">
        <v>1.8704000000000001</v>
      </c>
      <c r="L28" s="106">
        <f t="shared" si="0"/>
        <v>2805.6</v>
      </c>
    </row>
    <row r="29" spans="1:12" ht="30" x14ac:dyDescent="0.25">
      <c r="A29" s="49"/>
      <c r="B29" s="51" t="s">
        <v>147</v>
      </c>
      <c r="C29" s="50" t="str">
        <f>IF(B29='[1]DATOS 1'!$C$3,'[1]DATOS 1'!$B$3,IF(B29='[1]DATOS 1'!$C$4,'[1]DATOS 1'!$B$4,IF(B29='[1]DATOS 1'!$C$5,'[1]DATOS 1'!$B$5,IF(B29='[1]DATOS 1'!$C$6,'[1]DATOS 1'!$B$6,IF(B29='[1]DATOS 1'!$C$7,'[1]DATOS 1'!$B$7,IF(B29='[1]DATOS 1'!$C$8,'[1]DATOS 1'!$B$8,IF(B29='[1]DATOS 1'!$C$9,'[1]DATOS 1'!$B$9,IF(B29='[1]DATOS 1'!$C$10,'[1]DATOS 1'!$B$10,IF(B29='[1]DATOS 1'!$C$11,'[1]DATOS 1'!$B$11,IF(B29='[1]DATOS 1'!$C$12,'[1]DATOS 1'!$B$12,IF(B29='[1]DATOS 1'!$C$13,'[1]DATOS 1'!$B$13,IF(B29='[1]DATOS 1'!$C$14,'[1]DATOS 1'!$B$14,IF(B29='[1]DATOS 1'!$C$15,'[1]DATOS 1'!$B$15,IF(B29='[1]DATOS 1'!$C$16,'[1]DATOS 1'!$B$16,IF(B29='[1]DATOS 1'!$C$17,'[1]DATOS 1'!$B$17,IF(B29='[1]DATOS 1'!$C$18,'[1]DATOS 1'!$B$18,IF(B29='[1]DATOS 1'!$C$19,'[1]DATOS 1'!$B$19,IF(B29='[1]DATOS 1'!$C$20,'[1]DATOS 1'!$B$20,IF(B29='[1]DATOS 1'!$C$21,'[1]DATOS 1'!$B$21,IF(B29='[1]DATOS 1'!$C$22,'[1]DATOS 1'!$B$22,IF(B29='[1]DATOS 1'!$C$23,'[1]DATOS 1'!$B$23,IF(B29='[1]DATOS 1'!$C$24,'[1]DATOS 1'!$B$24,IF(B29='[1]DATOS 1'!$C$25,'[1]DATOS 1'!$B$25,IF(B29='[1]DATOS 1'!$C$26,'[1]DATOS 1'!$B$26,IF(B29='[1]DATOS 1'!$C$27,'[1]DATOS 1'!$B$27,IF(B29='[1]DATOS 1'!$C$28,'[1]DATOS 1'!$B$28,IF(B29='[1]DATOS 1'!$C$29,'[1]DATOS 1'!$B$29,IF(B29='[1]DATOS 1'!$C$30,'[1]DATOS 1'!$B$30,IF(B29='[1]DATOS 1'!$C$31,'[1]DATOS 1'!$B$31,IF(B29='[1]DATOS 1'!$C$32,'[1]DATOS 1'!$B$32,IF(B29='[1]DATOS 1'!$C$33,'[1]DATOS 1'!$B$33,IF(B29='[1]DATOS 1'!$C$34,'[1]DATOS 1'!$B$34,IF(B29='[1]DATOS 1'!$C$35,'[1]DATOS 1'!$B$35," ")))))))))))))))))))))))))))))))))</f>
        <v>DCD. INSTITUCIONAL</v>
      </c>
      <c r="D29" s="78" t="s">
        <v>122</v>
      </c>
      <c r="E29" s="2" t="s">
        <v>478</v>
      </c>
      <c r="F29" s="79" t="s">
        <v>551</v>
      </c>
      <c r="G29" s="79">
        <v>6</v>
      </c>
      <c r="H29" s="2"/>
      <c r="I29" s="94">
        <v>530804</v>
      </c>
      <c r="J29" s="71" t="s">
        <v>524</v>
      </c>
      <c r="K29" s="106">
        <v>0.79500000000000004</v>
      </c>
      <c r="L29" s="106">
        <f t="shared" si="0"/>
        <v>4.7700000000000005</v>
      </c>
    </row>
    <row r="30" spans="1:12" ht="30" x14ac:dyDescent="0.25">
      <c r="A30" s="49"/>
      <c r="B30" s="51" t="s">
        <v>147</v>
      </c>
      <c r="C30" s="50" t="str">
        <f>IF(B30='[1]DATOS 1'!$C$3,'[1]DATOS 1'!$B$3,IF(B30='[1]DATOS 1'!$C$4,'[1]DATOS 1'!$B$4,IF(B30='[1]DATOS 1'!$C$5,'[1]DATOS 1'!$B$5,IF(B30='[1]DATOS 1'!$C$6,'[1]DATOS 1'!$B$6,IF(B30='[1]DATOS 1'!$C$7,'[1]DATOS 1'!$B$7,IF(B30='[1]DATOS 1'!$C$8,'[1]DATOS 1'!$B$8,IF(B30='[1]DATOS 1'!$C$9,'[1]DATOS 1'!$B$9,IF(B30='[1]DATOS 1'!$C$10,'[1]DATOS 1'!$B$10,IF(B30='[1]DATOS 1'!$C$11,'[1]DATOS 1'!$B$11,IF(B30='[1]DATOS 1'!$C$12,'[1]DATOS 1'!$B$12,IF(B30='[1]DATOS 1'!$C$13,'[1]DATOS 1'!$B$13,IF(B30='[1]DATOS 1'!$C$14,'[1]DATOS 1'!$B$14,IF(B30='[1]DATOS 1'!$C$15,'[1]DATOS 1'!$B$15,IF(B30='[1]DATOS 1'!$C$16,'[1]DATOS 1'!$B$16,IF(B30='[1]DATOS 1'!$C$17,'[1]DATOS 1'!$B$17,IF(B30='[1]DATOS 1'!$C$18,'[1]DATOS 1'!$B$18,IF(B30='[1]DATOS 1'!$C$19,'[1]DATOS 1'!$B$19,IF(B30='[1]DATOS 1'!$C$20,'[1]DATOS 1'!$B$20,IF(B30='[1]DATOS 1'!$C$21,'[1]DATOS 1'!$B$21,IF(B30='[1]DATOS 1'!$C$22,'[1]DATOS 1'!$B$22,IF(B30='[1]DATOS 1'!$C$23,'[1]DATOS 1'!$B$23,IF(B30='[1]DATOS 1'!$C$24,'[1]DATOS 1'!$B$24,IF(B30='[1]DATOS 1'!$C$25,'[1]DATOS 1'!$B$25,IF(B30='[1]DATOS 1'!$C$26,'[1]DATOS 1'!$B$26,IF(B30='[1]DATOS 1'!$C$27,'[1]DATOS 1'!$B$27,IF(B30='[1]DATOS 1'!$C$28,'[1]DATOS 1'!$B$28,IF(B30='[1]DATOS 1'!$C$29,'[1]DATOS 1'!$B$29,IF(B30='[1]DATOS 1'!$C$30,'[1]DATOS 1'!$B$30,IF(B30='[1]DATOS 1'!$C$31,'[1]DATOS 1'!$B$31,IF(B30='[1]DATOS 1'!$C$32,'[1]DATOS 1'!$B$32,IF(B30='[1]DATOS 1'!$C$33,'[1]DATOS 1'!$B$33,IF(B30='[1]DATOS 1'!$C$34,'[1]DATOS 1'!$B$34,IF(B30='[1]DATOS 1'!$C$35,'[1]DATOS 1'!$B$35," ")))))))))))))))))))))))))))))))))</f>
        <v>DCD. INSTITUCIONAL</v>
      </c>
      <c r="D30" s="78" t="s">
        <v>122</v>
      </c>
      <c r="E30" s="2" t="s">
        <v>479</v>
      </c>
      <c r="F30" s="79" t="s">
        <v>551</v>
      </c>
      <c r="G30" s="79">
        <v>24</v>
      </c>
      <c r="H30" s="2"/>
      <c r="I30" s="94">
        <v>530804</v>
      </c>
      <c r="J30" s="71" t="s">
        <v>524</v>
      </c>
      <c r="K30" s="106">
        <v>0.38</v>
      </c>
      <c r="L30" s="106">
        <f t="shared" si="0"/>
        <v>9.120000000000001</v>
      </c>
    </row>
    <row r="31" spans="1:12" ht="60" x14ac:dyDescent="0.25">
      <c r="A31" s="49"/>
      <c r="B31" s="51" t="s">
        <v>147</v>
      </c>
      <c r="C31" s="50" t="str">
        <f>IF(B31='[1]DATOS 1'!$C$3,'[1]DATOS 1'!$B$3,IF(B31='[1]DATOS 1'!$C$4,'[1]DATOS 1'!$B$4,IF(B31='[1]DATOS 1'!$C$5,'[1]DATOS 1'!$B$5,IF(B31='[1]DATOS 1'!$C$6,'[1]DATOS 1'!$B$6,IF(B31='[1]DATOS 1'!$C$7,'[1]DATOS 1'!$B$7,IF(B31='[1]DATOS 1'!$C$8,'[1]DATOS 1'!$B$8,IF(B31='[1]DATOS 1'!$C$9,'[1]DATOS 1'!$B$9,IF(B31='[1]DATOS 1'!$C$10,'[1]DATOS 1'!$B$10,IF(B31='[1]DATOS 1'!$C$11,'[1]DATOS 1'!$B$11,IF(B31='[1]DATOS 1'!$C$12,'[1]DATOS 1'!$B$12,IF(B31='[1]DATOS 1'!$C$13,'[1]DATOS 1'!$B$13,IF(B31='[1]DATOS 1'!$C$14,'[1]DATOS 1'!$B$14,IF(B31='[1]DATOS 1'!$C$15,'[1]DATOS 1'!$B$15,IF(B31='[1]DATOS 1'!$C$16,'[1]DATOS 1'!$B$16,IF(B31='[1]DATOS 1'!$C$17,'[1]DATOS 1'!$B$17,IF(B31='[1]DATOS 1'!$C$18,'[1]DATOS 1'!$B$18,IF(B31='[1]DATOS 1'!$C$19,'[1]DATOS 1'!$B$19,IF(B31='[1]DATOS 1'!$C$20,'[1]DATOS 1'!$B$20,IF(B31='[1]DATOS 1'!$C$21,'[1]DATOS 1'!$B$21,IF(B31='[1]DATOS 1'!$C$22,'[1]DATOS 1'!$B$22,IF(B31='[1]DATOS 1'!$C$23,'[1]DATOS 1'!$B$23,IF(B31='[1]DATOS 1'!$C$24,'[1]DATOS 1'!$B$24,IF(B31='[1]DATOS 1'!$C$25,'[1]DATOS 1'!$B$25,IF(B31='[1]DATOS 1'!$C$26,'[1]DATOS 1'!$B$26,IF(B31='[1]DATOS 1'!$C$27,'[1]DATOS 1'!$B$27,IF(B31='[1]DATOS 1'!$C$28,'[1]DATOS 1'!$B$28,IF(B31='[1]DATOS 1'!$C$29,'[1]DATOS 1'!$B$29,IF(B31='[1]DATOS 1'!$C$30,'[1]DATOS 1'!$B$30,IF(B31='[1]DATOS 1'!$C$31,'[1]DATOS 1'!$B$31,IF(B31='[1]DATOS 1'!$C$32,'[1]DATOS 1'!$B$32,IF(B31='[1]DATOS 1'!$C$33,'[1]DATOS 1'!$B$33,IF(B31='[1]DATOS 1'!$C$34,'[1]DATOS 1'!$B$34,IF(B31='[1]DATOS 1'!$C$35,'[1]DATOS 1'!$B$35," ")))))))))))))))))))))))))))))))))</f>
        <v>DCD. INSTITUCIONAL</v>
      </c>
      <c r="D31" s="78" t="s">
        <v>122</v>
      </c>
      <c r="E31" s="2" t="s">
        <v>480</v>
      </c>
      <c r="F31" s="79" t="s">
        <v>551</v>
      </c>
      <c r="G31" s="79">
        <v>24</v>
      </c>
      <c r="H31" s="2"/>
      <c r="I31" s="94">
        <v>530804</v>
      </c>
      <c r="J31" s="71" t="s">
        <v>524</v>
      </c>
      <c r="K31" s="106">
        <v>0.92669999999999997</v>
      </c>
      <c r="L31" s="106">
        <f t="shared" si="0"/>
        <v>22.2408</v>
      </c>
    </row>
    <row r="32" spans="1:12" ht="45" x14ac:dyDescent="0.25">
      <c r="A32" s="49"/>
      <c r="B32" s="51" t="s">
        <v>147</v>
      </c>
      <c r="C32" s="50" t="str">
        <f>IF(B32='[1]DATOS 1'!$C$3,'[1]DATOS 1'!$B$3,IF(B32='[1]DATOS 1'!$C$4,'[1]DATOS 1'!$B$4,IF(B32='[1]DATOS 1'!$C$5,'[1]DATOS 1'!$B$5,IF(B32='[1]DATOS 1'!$C$6,'[1]DATOS 1'!$B$6,IF(B32='[1]DATOS 1'!$C$7,'[1]DATOS 1'!$B$7,IF(B32='[1]DATOS 1'!$C$8,'[1]DATOS 1'!$B$8,IF(B32='[1]DATOS 1'!$C$9,'[1]DATOS 1'!$B$9,IF(B32='[1]DATOS 1'!$C$10,'[1]DATOS 1'!$B$10,IF(B32='[1]DATOS 1'!$C$11,'[1]DATOS 1'!$B$11,IF(B32='[1]DATOS 1'!$C$12,'[1]DATOS 1'!$B$12,IF(B32='[1]DATOS 1'!$C$13,'[1]DATOS 1'!$B$13,IF(B32='[1]DATOS 1'!$C$14,'[1]DATOS 1'!$B$14,IF(B32='[1]DATOS 1'!$C$15,'[1]DATOS 1'!$B$15,IF(B32='[1]DATOS 1'!$C$16,'[1]DATOS 1'!$B$16,IF(B32='[1]DATOS 1'!$C$17,'[1]DATOS 1'!$B$17,IF(B32='[1]DATOS 1'!$C$18,'[1]DATOS 1'!$B$18,IF(B32='[1]DATOS 1'!$C$19,'[1]DATOS 1'!$B$19,IF(B32='[1]DATOS 1'!$C$20,'[1]DATOS 1'!$B$20,IF(B32='[1]DATOS 1'!$C$21,'[1]DATOS 1'!$B$21,IF(B32='[1]DATOS 1'!$C$22,'[1]DATOS 1'!$B$22,IF(B32='[1]DATOS 1'!$C$23,'[1]DATOS 1'!$B$23,IF(B32='[1]DATOS 1'!$C$24,'[1]DATOS 1'!$B$24,IF(B32='[1]DATOS 1'!$C$25,'[1]DATOS 1'!$B$25,IF(B32='[1]DATOS 1'!$C$26,'[1]DATOS 1'!$B$26,IF(B32='[1]DATOS 1'!$C$27,'[1]DATOS 1'!$B$27,IF(B32='[1]DATOS 1'!$C$28,'[1]DATOS 1'!$B$28,IF(B32='[1]DATOS 1'!$C$29,'[1]DATOS 1'!$B$29,IF(B32='[1]DATOS 1'!$C$30,'[1]DATOS 1'!$B$30,IF(B32='[1]DATOS 1'!$C$31,'[1]DATOS 1'!$B$31,IF(B32='[1]DATOS 1'!$C$32,'[1]DATOS 1'!$B$32,IF(B32='[1]DATOS 1'!$C$33,'[1]DATOS 1'!$B$33,IF(B32='[1]DATOS 1'!$C$34,'[1]DATOS 1'!$B$34,IF(B32='[1]DATOS 1'!$C$35,'[1]DATOS 1'!$B$35," ")))))))))))))))))))))))))))))))))</f>
        <v>DCD. INSTITUCIONAL</v>
      </c>
      <c r="D32" s="78" t="s">
        <v>122</v>
      </c>
      <c r="E32" s="2" t="s">
        <v>481</v>
      </c>
      <c r="F32" s="79" t="s">
        <v>551</v>
      </c>
      <c r="G32" s="79">
        <v>60</v>
      </c>
      <c r="H32" s="2"/>
      <c r="I32" s="94">
        <v>530804</v>
      </c>
      <c r="J32" s="71" t="s">
        <v>524</v>
      </c>
      <c r="K32" s="106">
        <v>3.2389999999999999</v>
      </c>
      <c r="L32" s="106">
        <f t="shared" si="0"/>
        <v>194.34</v>
      </c>
    </row>
    <row r="33" spans="1:12" ht="30" x14ac:dyDescent="0.25">
      <c r="A33" s="49"/>
      <c r="B33" s="51" t="s">
        <v>147</v>
      </c>
      <c r="C33" s="50" t="str">
        <f>IF(B33='[1]DATOS 1'!$C$3,'[1]DATOS 1'!$B$3,IF(B33='[1]DATOS 1'!$C$4,'[1]DATOS 1'!$B$4,IF(B33='[1]DATOS 1'!$C$5,'[1]DATOS 1'!$B$5,IF(B33='[1]DATOS 1'!$C$6,'[1]DATOS 1'!$B$6,IF(B33='[1]DATOS 1'!$C$7,'[1]DATOS 1'!$B$7,IF(B33='[1]DATOS 1'!$C$8,'[1]DATOS 1'!$B$8,IF(B33='[1]DATOS 1'!$C$9,'[1]DATOS 1'!$B$9,IF(B33='[1]DATOS 1'!$C$10,'[1]DATOS 1'!$B$10,IF(B33='[1]DATOS 1'!$C$11,'[1]DATOS 1'!$B$11,IF(B33='[1]DATOS 1'!$C$12,'[1]DATOS 1'!$B$12,IF(B33='[1]DATOS 1'!$C$13,'[1]DATOS 1'!$B$13,IF(B33='[1]DATOS 1'!$C$14,'[1]DATOS 1'!$B$14,IF(B33='[1]DATOS 1'!$C$15,'[1]DATOS 1'!$B$15,IF(B33='[1]DATOS 1'!$C$16,'[1]DATOS 1'!$B$16,IF(B33='[1]DATOS 1'!$C$17,'[1]DATOS 1'!$B$17,IF(B33='[1]DATOS 1'!$C$18,'[1]DATOS 1'!$B$18,IF(B33='[1]DATOS 1'!$C$19,'[1]DATOS 1'!$B$19,IF(B33='[1]DATOS 1'!$C$20,'[1]DATOS 1'!$B$20,IF(B33='[1]DATOS 1'!$C$21,'[1]DATOS 1'!$B$21,IF(B33='[1]DATOS 1'!$C$22,'[1]DATOS 1'!$B$22,IF(B33='[1]DATOS 1'!$C$23,'[1]DATOS 1'!$B$23,IF(B33='[1]DATOS 1'!$C$24,'[1]DATOS 1'!$B$24,IF(B33='[1]DATOS 1'!$C$25,'[1]DATOS 1'!$B$25,IF(B33='[1]DATOS 1'!$C$26,'[1]DATOS 1'!$B$26,IF(B33='[1]DATOS 1'!$C$27,'[1]DATOS 1'!$B$27,IF(B33='[1]DATOS 1'!$C$28,'[1]DATOS 1'!$B$28,IF(B33='[1]DATOS 1'!$C$29,'[1]DATOS 1'!$B$29,IF(B33='[1]DATOS 1'!$C$30,'[1]DATOS 1'!$B$30,IF(B33='[1]DATOS 1'!$C$31,'[1]DATOS 1'!$B$31,IF(B33='[1]DATOS 1'!$C$32,'[1]DATOS 1'!$B$32,IF(B33='[1]DATOS 1'!$C$33,'[1]DATOS 1'!$B$33,IF(B33='[1]DATOS 1'!$C$34,'[1]DATOS 1'!$B$34,IF(B33='[1]DATOS 1'!$C$35,'[1]DATOS 1'!$B$35," ")))))))))))))))))))))))))))))))))</f>
        <v>DCD. INSTITUCIONAL</v>
      </c>
      <c r="D33" s="78" t="s">
        <v>122</v>
      </c>
      <c r="E33" s="2" t="s">
        <v>482</v>
      </c>
      <c r="F33" s="79" t="s">
        <v>551</v>
      </c>
      <c r="G33" s="79">
        <v>25</v>
      </c>
      <c r="H33" s="2"/>
      <c r="I33" s="94">
        <v>530804</v>
      </c>
      <c r="J33" s="71" t="s">
        <v>524</v>
      </c>
      <c r="K33" s="106">
        <v>0.28000000000000003</v>
      </c>
      <c r="L33" s="106">
        <f t="shared" si="0"/>
        <v>7.0000000000000009</v>
      </c>
    </row>
    <row r="34" spans="1:12" ht="60" x14ac:dyDescent="0.25">
      <c r="A34" s="49"/>
      <c r="B34" s="51" t="s">
        <v>147</v>
      </c>
      <c r="C34" s="50" t="str">
        <f>IF(B34='[1]DATOS 1'!$C$3,'[1]DATOS 1'!$B$3,IF(B34='[1]DATOS 1'!$C$4,'[1]DATOS 1'!$B$4,IF(B34='[1]DATOS 1'!$C$5,'[1]DATOS 1'!$B$5,IF(B34='[1]DATOS 1'!$C$6,'[1]DATOS 1'!$B$6,IF(B34='[1]DATOS 1'!$C$7,'[1]DATOS 1'!$B$7,IF(B34='[1]DATOS 1'!$C$8,'[1]DATOS 1'!$B$8,IF(B34='[1]DATOS 1'!$C$9,'[1]DATOS 1'!$B$9,IF(B34='[1]DATOS 1'!$C$10,'[1]DATOS 1'!$B$10,IF(B34='[1]DATOS 1'!$C$11,'[1]DATOS 1'!$B$11,IF(B34='[1]DATOS 1'!$C$12,'[1]DATOS 1'!$B$12,IF(B34='[1]DATOS 1'!$C$13,'[1]DATOS 1'!$B$13,IF(B34='[1]DATOS 1'!$C$14,'[1]DATOS 1'!$B$14,IF(B34='[1]DATOS 1'!$C$15,'[1]DATOS 1'!$B$15,IF(B34='[1]DATOS 1'!$C$16,'[1]DATOS 1'!$B$16,IF(B34='[1]DATOS 1'!$C$17,'[1]DATOS 1'!$B$17,IF(B34='[1]DATOS 1'!$C$18,'[1]DATOS 1'!$B$18,IF(B34='[1]DATOS 1'!$C$19,'[1]DATOS 1'!$B$19,IF(B34='[1]DATOS 1'!$C$20,'[1]DATOS 1'!$B$20,IF(B34='[1]DATOS 1'!$C$21,'[1]DATOS 1'!$B$21,IF(B34='[1]DATOS 1'!$C$22,'[1]DATOS 1'!$B$22,IF(B34='[1]DATOS 1'!$C$23,'[1]DATOS 1'!$B$23,IF(B34='[1]DATOS 1'!$C$24,'[1]DATOS 1'!$B$24,IF(B34='[1]DATOS 1'!$C$25,'[1]DATOS 1'!$B$25,IF(B34='[1]DATOS 1'!$C$26,'[1]DATOS 1'!$B$26,IF(B34='[1]DATOS 1'!$C$27,'[1]DATOS 1'!$B$27,IF(B34='[1]DATOS 1'!$C$28,'[1]DATOS 1'!$B$28,IF(B34='[1]DATOS 1'!$C$29,'[1]DATOS 1'!$B$29,IF(B34='[1]DATOS 1'!$C$30,'[1]DATOS 1'!$B$30,IF(B34='[1]DATOS 1'!$C$31,'[1]DATOS 1'!$B$31,IF(B34='[1]DATOS 1'!$C$32,'[1]DATOS 1'!$B$32,IF(B34='[1]DATOS 1'!$C$33,'[1]DATOS 1'!$B$33,IF(B34='[1]DATOS 1'!$C$34,'[1]DATOS 1'!$B$34,IF(B34='[1]DATOS 1'!$C$35,'[1]DATOS 1'!$B$35," ")))))))))))))))))))))))))))))))))</f>
        <v>DCD. INSTITUCIONAL</v>
      </c>
      <c r="D34" s="78" t="s">
        <v>122</v>
      </c>
      <c r="E34" s="2" t="s">
        <v>483</v>
      </c>
      <c r="F34" s="79" t="s">
        <v>551</v>
      </c>
      <c r="G34" s="79">
        <v>24</v>
      </c>
      <c r="H34" s="2"/>
      <c r="I34" s="94">
        <v>530804</v>
      </c>
      <c r="J34" s="71" t="s">
        <v>524</v>
      </c>
      <c r="K34" s="106">
        <v>2.88</v>
      </c>
      <c r="L34" s="106">
        <f t="shared" si="0"/>
        <v>69.12</v>
      </c>
    </row>
    <row r="35" spans="1:12" ht="30" x14ac:dyDescent="0.25">
      <c r="A35" s="49"/>
      <c r="B35" s="51" t="s">
        <v>147</v>
      </c>
      <c r="C35" s="50" t="str">
        <f>IF(B35='[1]DATOS 1'!$C$3,'[1]DATOS 1'!$B$3,IF(B35='[1]DATOS 1'!$C$4,'[1]DATOS 1'!$B$4,IF(B35='[1]DATOS 1'!$C$5,'[1]DATOS 1'!$B$5,IF(B35='[1]DATOS 1'!$C$6,'[1]DATOS 1'!$B$6,IF(B35='[1]DATOS 1'!$C$7,'[1]DATOS 1'!$B$7,IF(B35='[1]DATOS 1'!$C$8,'[1]DATOS 1'!$B$8,IF(B35='[1]DATOS 1'!$C$9,'[1]DATOS 1'!$B$9,IF(B35='[1]DATOS 1'!$C$10,'[1]DATOS 1'!$B$10,IF(B35='[1]DATOS 1'!$C$11,'[1]DATOS 1'!$B$11,IF(B35='[1]DATOS 1'!$C$12,'[1]DATOS 1'!$B$12,IF(B35='[1]DATOS 1'!$C$13,'[1]DATOS 1'!$B$13,IF(B35='[1]DATOS 1'!$C$14,'[1]DATOS 1'!$B$14,IF(B35='[1]DATOS 1'!$C$15,'[1]DATOS 1'!$B$15,IF(B35='[1]DATOS 1'!$C$16,'[1]DATOS 1'!$B$16,IF(B35='[1]DATOS 1'!$C$17,'[1]DATOS 1'!$B$17,IF(B35='[1]DATOS 1'!$C$18,'[1]DATOS 1'!$B$18,IF(B35='[1]DATOS 1'!$C$19,'[1]DATOS 1'!$B$19,IF(B35='[1]DATOS 1'!$C$20,'[1]DATOS 1'!$B$20,IF(B35='[1]DATOS 1'!$C$21,'[1]DATOS 1'!$B$21,IF(B35='[1]DATOS 1'!$C$22,'[1]DATOS 1'!$B$22,IF(B35='[1]DATOS 1'!$C$23,'[1]DATOS 1'!$B$23,IF(B35='[1]DATOS 1'!$C$24,'[1]DATOS 1'!$B$24,IF(B35='[1]DATOS 1'!$C$25,'[1]DATOS 1'!$B$25,IF(B35='[1]DATOS 1'!$C$26,'[1]DATOS 1'!$B$26,IF(B35='[1]DATOS 1'!$C$27,'[1]DATOS 1'!$B$27,IF(B35='[1]DATOS 1'!$C$28,'[1]DATOS 1'!$B$28,IF(B35='[1]DATOS 1'!$C$29,'[1]DATOS 1'!$B$29,IF(B35='[1]DATOS 1'!$C$30,'[1]DATOS 1'!$B$30,IF(B35='[1]DATOS 1'!$C$31,'[1]DATOS 1'!$B$31,IF(B35='[1]DATOS 1'!$C$32,'[1]DATOS 1'!$B$32,IF(B35='[1]DATOS 1'!$C$33,'[1]DATOS 1'!$B$33,IF(B35='[1]DATOS 1'!$C$34,'[1]DATOS 1'!$B$34,IF(B35='[1]DATOS 1'!$C$35,'[1]DATOS 1'!$B$35," ")))))))))))))))))))))))))))))))))</f>
        <v>DCD. INSTITUCIONAL</v>
      </c>
      <c r="D35" s="78" t="s">
        <v>122</v>
      </c>
      <c r="E35" s="2" t="s">
        <v>484</v>
      </c>
      <c r="F35" s="79" t="s">
        <v>551</v>
      </c>
      <c r="G35" s="79">
        <v>12</v>
      </c>
      <c r="H35" s="2"/>
      <c r="I35" s="94">
        <v>530804</v>
      </c>
      <c r="J35" s="71" t="s">
        <v>524</v>
      </c>
      <c r="K35" s="106">
        <v>0.43669999999999998</v>
      </c>
      <c r="L35" s="106">
        <f t="shared" si="0"/>
        <v>5.2403999999999993</v>
      </c>
    </row>
    <row r="36" spans="1:12" ht="30" x14ac:dyDescent="0.25">
      <c r="A36" s="49"/>
      <c r="B36" s="51" t="s">
        <v>147</v>
      </c>
      <c r="C36" s="50" t="str">
        <f>IF(B36='[1]DATOS 1'!$C$3,'[1]DATOS 1'!$B$3,IF(B36='[1]DATOS 1'!$C$4,'[1]DATOS 1'!$B$4,IF(B36='[1]DATOS 1'!$C$5,'[1]DATOS 1'!$B$5,IF(B36='[1]DATOS 1'!$C$6,'[1]DATOS 1'!$B$6,IF(B36='[1]DATOS 1'!$C$7,'[1]DATOS 1'!$B$7,IF(B36='[1]DATOS 1'!$C$8,'[1]DATOS 1'!$B$8,IF(B36='[1]DATOS 1'!$C$9,'[1]DATOS 1'!$B$9,IF(B36='[1]DATOS 1'!$C$10,'[1]DATOS 1'!$B$10,IF(B36='[1]DATOS 1'!$C$11,'[1]DATOS 1'!$B$11,IF(B36='[1]DATOS 1'!$C$12,'[1]DATOS 1'!$B$12,IF(B36='[1]DATOS 1'!$C$13,'[1]DATOS 1'!$B$13,IF(B36='[1]DATOS 1'!$C$14,'[1]DATOS 1'!$B$14,IF(B36='[1]DATOS 1'!$C$15,'[1]DATOS 1'!$B$15,IF(B36='[1]DATOS 1'!$C$16,'[1]DATOS 1'!$B$16,IF(B36='[1]DATOS 1'!$C$17,'[1]DATOS 1'!$B$17,IF(B36='[1]DATOS 1'!$C$18,'[1]DATOS 1'!$B$18,IF(B36='[1]DATOS 1'!$C$19,'[1]DATOS 1'!$B$19,IF(B36='[1]DATOS 1'!$C$20,'[1]DATOS 1'!$B$20,IF(B36='[1]DATOS 1'!$C$21,'[1]DATOS 1'!$B$21,IF(B36='[1]DATOS 1'!$C$22,'[1]DATOS 1'!$B$22,IF(B36='[1]DATOS 1'!$C$23,'[1]DATOS 1'!$B$23,IF(B36='[1]DATOS 1'!$C$24,'[1]DATOS 1'!$B$24,IF(B36='[1]DATOS 1'!$C$25,'[1]DATOS 1'!$B$25,IF(B36='[1]DATOS 1'!$C$26,'[1]DATOS 1'!$B$26,IF(B36='[1]DATOS 1'!$C$27,'[1]DATOS 1'!$B$27,IF(B36='[1]DATOS 1'!$C$28,'[1]DATOS 1'!$B$28,IF(B36='[1]DATOS 1'!$C$29,'[1]DATOS 1'!$B$29,IF(B36='[1]DATOS 1'!$C$30,'[1]DATOS 1'!$B$30,IF(B36='[1]DATOS 1'!$C$31,'[1]DATOS 1'!$B$31,IF(B36='[1]DATOS 1'!$C$32,'[1]DATOS 1'!$B$32,IF(B36='[1]DATOS 1'!$C$33,'[1]DATOS 1'!$B$33,IF(B36='[1]DATOS 1'!$C$34,'[1]DATOS 1'!$B$34,IF(B36='[1]DATOS 1'!$C$35,'[1]DATOS 1'!$B$35," ")))))))))))))))))))))))))))))))))</f>
        <v>DCD. INSTITUCIONAL</v>
      </c>
      <c r="D36" s="78" t="s">
        <v>122</v>
      </c>
      <c r="E36" s="2" t="s">
        <v>485</v>
      </c>
      <c r="F36" s="79" t="s">
        <v>551</v>
      </c>
      <c r="G36" s="79">
        <v>6</v>
      </c>
      <c r="H36" s="2"/>
      <c r="I36" s="94">
        <v>530804</v>
      </c>
      <c r="J36" s="71" t="s">
        <v>524</v>
      </c>
      <c r="K36" s="106">
        <v>0.67</v>
      </c>
      <c r="L36" s="106">
        <f t="shared" si="0"/>
        <v>4.0200000000000005</v>
      </c>
    </row>
    <row r="37" spans="1:12" ht="60" x14ac:dyDescent="0.25">
      <c r="A37" s="49"/>
      <c r="B37" s="51" t="s">
        <v>147</v>
      </c>
      <c r="C37" s="50" t="str">
        <f>IF(B37='[1]DATOS 1'!$C$3,'[1]DATOS 1'!$B$3,IF(B37='[1]DATOS 1'!$C$4,'[1]DATOS 1'!$B$4,IF(B37='[1]DATOS 1'!$C$5,'[1]DATOS 1'!$B$5,IF(B37='[1]DATOS 1'!$C$6,'[1]DATOS 1'!$B$6,IF(B37='[1]DATOS 1'!$C$7,'[1]DATOS 1'!$B$7,IF(B37='[1]DATOS 1'!$C$8,'[1]DATOS 1'!$B$8,IF(B37='[1]DATOS 1'!$C$9,'[1]DATOS 1'!$B$9,IF(B37='[1]DATOS 1'!$C$10,'[1]DATOS 1'!$B$10,IF(B37='[1]DATOS 1'!$C$11,'[1]DATOS 1'!$B$11,IF(B37='[1]DATOS 1'!$C$12,'[1]DATOS 1'!$B$12,IF(B37='[1]DATOS 1'!$C$13,'[1]DATOS 1'!$B$13,IF(B37='[1]DATOS 1'!$C$14,'[1]DATOS 1'!$B$14,IF(B37='[1]DATOS 1'!$C$15,'[1]DATOS 1'!$B$15,IF(B37='[1]DATOS 1'!$C$16,'[1]DATOS 1'!$B$16,IF(B37='[1]DATOS 1'!$C$17,'[1]DATOS 1'!$B$17,IF(B37='[1]DATOS 1'!$C$18,'[1]DATOS 1'!$B$18,IF(B37='[1]DATOS 1'!$C$19,'[1]DATOS 1'!$B$19,IF(B37='[1]DATOS 1'!$C$20,'[1]DATOS 1'!$B$20,IF(B37='[1]DATOS 1'!$C$21,'[1]DATOS 1'!$B$21,IF(B37='[1]DATOS 1'!$C$22,'[1]DATOS 1'!$B$22,IF(B37='[1]DATOS 1'!$C$23,'[1]DATOS 1'!$B$23,IF(B37='[1]DATOS 1'!$C$24,'[1]DATOS 1'!$B$24,IF(B37='[1]DATOS 1'!$C$25,'[1]DATOS 1'!$B$25,IF(B37='[1]DATOS 1'!$C$26,'[1]DATOS 1'!$B$26,IF(B37='[1]DATOS 1'!$C$27,'[1]DATOS 1'!$B$27,IF(B37='[1]DATOS 1'!$C$28,'[1]DATOS 1'!$B$28,IF(B37='[1]DATOS 1'!$C$29,'[1]DATOS 1'!$B$29,IF(B37='[1]DATOS 1'!$C$30,'[1]DATOS 1'!$B$30,IF(B37='[1]DATOS 1'!$C$31,'[1]DATOS 1'!$B$31,IF(B37='[1]DATOS 1'!$C$32,'[1]DATOS 1'!$B$32,IF(B37='[1]DATOS 1'!$C$33,'[1]DATOS 1'!$B$33,IF(B37='[1]DATOS 1'!$C$34,'[1]DATOS 1'!$B$34,IF(B37='[1]DATOS 1'!$C$35,'[1]DATOS 1'!$B$35," ")))))))))))))))))))))))))))))))))</f>
        <v>DCD. INSTITUCIONAL</v>
      </c>
      <c r="D37" s="78" t="s">
        <v>122</v>
      </c>
      <c r="E37" s="2" t="s">
        <v>487</v>
      </c>
      <c r="F37" s="79" t="s">
        <v>551</v>
      </c>
      <c r="G37" s="79">
        <v>150</v>
      </c>
      <c r="H37" s="2"/>
      <c r="I37" s="94">
        <v>530804</v>
      </c>
      <c r="J37" s="71" t="s">
        <v>524</v>
      </c>
      <c r="K37" s="106">
        <v>13.5296</v>
      </c>
      <c r="L37" s="106">
        <f t="shared" si="0"/>
        <v>2029.44</v>
      </c>
    </row>
    <row r="38" spans="1:12" ht="30" x14ac:dyDescent="0.25">
      <c r="A38" s="49"/>
      <c r="B38" s="51" t="s">
        <v>147</v>
      </c>
      <c r="C38" s="50" t="str">
        <f>IF(B38='[1]DATOS 1'!$C$3,'[1]DATOS 1'!$B$3,IF(B38='[1]DATOS 1'!$C$4,'[1]DATOS 1'!$B$4,IF(B38='[1]DATOS 1'!$C$5,'[1]DATOS 1'!$B$5,IF(B38='[1]DATOS 1'!$C$6,'[1]DATOS 1'!$B$6,IF(B38='[1]DATOS 1'!$C$7,'[1]DATOS 1'!$B$7,IF(B38='[1]DATOS 1'!$C$8,'[1]DATOS 1'!$B$8,IF(B38='[1]DATOS 1'!$C$9,'[1]DATOS 1'!$B$9,IF(B38='[1]DATOS 1'!$C$10,'[1]DATOS 1'!$B$10,IF(B38='[1]DATOS 1'!$C$11,'[1]DATOS 1'!$B$11,IF(B38='[1]DATOS 1'!$C$12,'[1]DATOS 1'!$B$12,IF(B38='[1]DATOS 1'!$C$13,'[1]DATOS 1'!$B$13,IF(B38='[1]DATOS 1'!$C$14,'[1]DATOS 1'!$B$14,IF(B38='[1]DATOS 1'!$C$15,'[1]DATOS 1'!$B$15,IF(B38='[1]DATOS 1'!$C$16,'[1]DATOS 1'!$B$16,IF(B38='[1]DATOS 1'!$C$17,'[1]DATOS 1'!$B$17,IF(B38='[1]DATOS 1'!$C$18,'[1]DATOS 1'!$B$18,IF(B38='[1]DATOS 1'!$C$19,'[1]DATOS 1'!$B$19,IF(B38='[1]DATOS 1'!$C$20,'[1]DATOS 1'!$B$20,IF(B38='[1]DATOS 1'!$C$21,'[1]DATOS 1'!$B$21,IF(B38='[1]DATOS 1'!$C$22,'[1]DATOS 1'!$B$22,IF(B38='[1]DATOS 1'!$C$23,'[1]DATOS 1'!$B$23,IF(B38='[1]DATOS 1'!$C$24,'[1]DATOS 1'!$B$24,IF(B38='[1]DATOS 1'!$C$25,'[1]DATOS 1'!$B$25,IF(B38='[1]DATOS 1'!$C$26,'[1]DATOS 1'!$B$26,IF(B38='[1]DATOS 1'!$C$27,'[1]DATOS 1'!$B$27,IF(B38='[1]DATOS 1'!$C$28,'[1]DATOS 1'!$B$28,IF(B38='[1]DATOS 1'!$C$29,'[1]DATOS 1'!$B$29,IF(B38='[1]DATOS 1'!$C$30,'[1]DATOS 1'!$B$30,IF(B38='[1]DATOS 1'!$C$31,'[1]DATOS 1'!$B$31,IF(B38='[1]DATOS 1'!$C$32,'[1]DATOS 1'!$B$32,IF(B38='[1]DATOS 1'!$C$33,'[1]DATOS 1'!$B$33,IF(B38='[1]DATOS 1'!$C$34,'[1]DATOS 1'!$B$34,IF(B38='[1]DATOS 1'!$C$35,'[1]DATOS 1'!$B$35," ")))))))))))))))))))))))))))))))))</f>
        <v>DCD. INSTITUCIONAL</v>
      </c>
      <c r="D38" s="78" t="s">
        <v>122</v>
      </c>
      <c r="E38" s="2" t="s">
        <v>488</v>
      </c>
      <c r="F38" s="79" t="s">
        <v>551</v>
      </c>
      <c r="G38" s="79">
        <v>60</v>
      </c>
      <c r="H38" s="2"/>
      <c r="I38" s="94">
        <v>530804</v>
      </c>
      <c r="J38" s="71" t="s">
        <v>524</v>
      </c>
      <c r="K38" s="106">
        <v>1.6692</v>
      </c>
      <c r="L38" s="106">
        <f t="shared" si="0"/>
        <v>100.152</v>
      </c>
    </row>
    <row r="39" spans="1:12" ht="30" x14ac:dyDescent="0.25">
      <c r="A39" s="49"/>
      <c r="B39" s="51" t="s">
        <v>147</v>
      </c>
      <c r="C39" s="50" t="str">
        <f>IF(B39='[1]DATOS 1'!$C$3,'[1]DATOS 1'!$B$3,IF(B39='[1]DATOS 1'!$C$4,'[1]DATOS 1'!$B$4,IF(B39='[1]DATOS 1'!$C$5,'[1]DATOS 1'!$B$5,IF(B39='[1]DATOS 1'!$C$6,'[1]DATOS 1'!$B$6,IF(B39='[1]DATOS 1'!$C$7,'[1]DATOS 1'!$B$7,IF(B39='[1]DATOS 1'!$C$8,'[1]DATOS 1'!$B$8,IF(B39='[1]DATOS 1'!$C$9,'[1]DATOS 1'!$B$9,IF(B39='[1]DATOS 1'!$C$10,'[1]DATOS 1'!$B$10,IF(B39='[1]DATOS 1'!$C$11,'[1]DATOS 1'!$B$11,IF(B39='[1]DATOS 1'!$C$12,'[1]DATOS 1'!$B$12,IF(B39='[1]DATOS 1'!$C$13,'[1]DATOS 1'!$B$13,IF(B39='[1]DATOS 1'!$C$14,'[1]DATOS 1'!$B$14,IF(B39='[1]DATOS 1'!$C$15,'[1]DATOS 1'!$B$15,IF(B39='[1]DATOS 1'!$C$16,'[1]DATOS 1'!$B$16,IF(B39='[1]DATOS 1'!$C$17,'[1]DATOS 1'!$B$17,IF(B39='[1]DATOS 1'!$C$18,'[1]DATOS 1'!$B$18,IF(B39='[1]DATOS 1'!$C$19,'[1]DATOS 1'!$B$19,IF(B39='[1]DATOS 1'!$C$20,'[1]DATOS 1'!$B$20,IF(B39='[1]DATOS 1'!$C$21,'[1]DATOS 1'!$B$21,IF(B39='[1]DATOS 1'!$C$22,'[1]DATOS 1'!$B$22,IF(B39='[1]DATOS 1'!$C$23,'[1]DATOS 1'!$B$23,IF(B39='[1]DATOS 1'!$C$24,'[1]DATOS 1'!$B$24,IF(B39='[1]DATOS 1'!$C$25,'[1]DATOS 1'!$B$25,IF(B39='[1]DATOS 1'!$C$26,'[1]DATOS 1'!$B$26,IF(B39='[1]DATOS 1'!$C$27,'[1]DATOS 1'!$B$27,IF(B39='[1]DATOS 1'!$C$28,'[1]DATOS 1'!$B$28,IF(B39='[1]DATOS 1'!$C$29,'[1]DATOS 1'!$B$29,IF(B39='[1]DATOS 1'!$C$30,'[1]DATOS 1'!$B$30,IF(B39='[1]DATOS 1'!$C$31,'[1]DATOS 1'!$B$31,IF(B39='[1]DATOS 1'!$C$32,'[1]DATOS 1'!$B$32,IF(B39='[1]DATOS 1'!$C$33,'[1]DATOS 1'!$B$33,IF(B39='[1]DATOS 1'!$C$34,'[1]DATOS 1'!$B$34,IF(B39='[1]DATOS 1'!$C$35,'[1]DATOS 1'!$B$35," ")))))))))))))))))))))))))))))))))</f>
        <v>DCD. INSTITUCIONAL</v>
      </c>
      <c r="D39" s="78" t="s">
        <v>122</v>
      </c>
      <c r="E39" s="2" t="s">
        <v>489</v>
      </c>
      <c r="F39" s="79" t="s">
        <v>551</v>
      </c>
      <c r="G39" s="79">
        <v>36</v>
      </c>
      <c r="H39" s="2"/>
      <c r="I39" s="94">
        <v>530804</v>
      </c>
      <c r="J39" s="71" t="s">
        <v>524</v>
      </c>
      <c r="K39" s="106">
        <v>0.52429999999999999</v>
      </c>
      <c r="L39" s="106">
        <f t="shared" si="0"/>
        <v>18.8748</v>
      </c>
    </row>
    <row r="40" spans="1:12" ht="45" x14ac:dyDescent="0.25">
      <c r="A40" s="49"/>
      <c r="B40" s="51" t="s">
        <v>147</v>
      </c>
      <c r="C40" s="50" t="str">
        <f>IF(B40='[1]DATOS 1'!$C$3,'[1]DATOS 1'!$B$3,IF(B40='[1]DATOS 1'!$C$4,'[1]DATOS 1'!$B$4,IF(B40='[1]DATOS 1'!$C$5,'[1]DATOS 1'!$B$5,IF(B40='[1]DATOS 1'!$C$6,'[1]DATOS 1'!$B$6,IF(B40='[1]DATOS 1'!$C$7,'[1]DATOS 1'!$B$7,IF(B40='[1]DATOS 1'!$C$8,'[1]DATOS 1'!$B$8,IF(B40='[1]DATOS 1'!$C$9,'[1]DATOS 1'!$B$9,IF(B40='[1]DATOS 1'!$C$10,'[1]DATOS 1'!$B$10,IF(B40='[1]DATOS 1'!$C$11,'[1]DATOS 1'!$B$11,IF(B40='[1]DATOS 1'!$C$12,'[1]DATOS 1'!$B$12,IF(B40='[1]DATOS 1'!$C$13,'[1]DATOS 1'!$B$13,IF(B40='[1]DATOS 1'!$C$14,'[1]DATOS 1'!$B$14,IF(B40='[1]DATOS 1'!$C$15,'[1]DATOS 1'!$B$15,IF(B40='[1]DATOS 1'!$C$16,'[1]DATOS 1'!$B$16,IF(B40='[1]DATOS 1'!$C$17,'[1]DATOS 1'!$B$17,IF(B40='[1]DATOS 1'!$C$18,'[1]DATOS 1'!$B$18,IF(B40='[1]DATOS 1'!$C$19,'[1]DATOS 1'!$B$19,IF(B40='[1]DATOS 1'!$C$20,'[1]DATOS 1'!$B$20,IF(B40='[1]DATOS 1'!$C$21,'[1]DATOS 1'!$B$21,IF(B40='[1]DATOS 1'!$C$22,'[1]DATOS 1'!$B$22,IF(B40='[1]DATOS 1'!$C$23,'[1]DATOS 1'!$B$23,IF(B40='[1]DATOS 1'!$C$24,'[1]DATOS 1'!$B$24,IF(B40='[1]DATOS 1'!$C$25,'[1]DATOS 1'!$B$25,IF(B40='[1]DATOS 1'!$C$26,'[1]DATOS 1'!$B$26,IF(B40='[1]DATOS 1'!$C$27,'[1]DATOS 1'!$B$27,IF(B40='[1]DATOS 1'!$C$28,'[1]DATOS 1'!$B$28,IF(B40='[1]DATOS 1'!$C$29,'[1]DATOS 1'!$B$29,IF(B40='[1]DATOS 1'!$C$30,'[1]DATOS 1'!$B$30,IF(B40='[1]DATOS 1'!$C$31,'[1]DATOS 1'!$B$31,IF(B40='[1]DATOS 1'!$C$32,'[1]DATOS 1'!$B$32,IF(B40='[1]DATOS 1'!$C$33,'[1]DATOS 1'!$B$33,IF(B40='[1]DATOS 1'!$C$34,'[1]DATOS 1'!$B$34,IF(B40='[1]DATOS 1'!$C$35,'[1]DATOS 1'!$B$35," ")))))))))))))))))))))))))))))))))</f>
        <v>DCD. INSTITUCIONAL</v>
      </c>
      <c r="D40" s="78" t="s">
        <v>122</v>
      </c>
      <c r="E40" s="2" t="s">
        <v>490</v>
      </c>
      <c r="F40" s="79" t="s">
        <v>551</v>
      </c>
      <c r="G40" s="79">
        <v>48</v>
      </c>
      <c r="H40" s="2"/>
      <c r="I40" s="94">
        <v>530804</v>
      </c>
      <c r="J40" s="71" t="s">
        <v>524</v>
      </c>
      <c r="K40" s="106">
        <v>9.4078999999999997</v>
      </c>
      <c r="L40" s="106">
        <f t="shared" si="0"/>
        <v>451.57920000000001</v>
      </c>
    </row>
    <row r="41" spans="1:12" ht="45" x14ac:dyDescent="0.25">
      <c r="A41" s="49"/>
      <c r="B41" s="51" t="s">
        <v>147</v>
      </c>
      <c r="C41" s="50" t="str">
        <f>IF(B41='[1]DATOS 1'!$C$3,'[1]DATOS 1'!$B$3,IF(B41='[1]DATOS 1'!$C$4,'[1]DATOS 1'!$B$4,IF(B41='[1]DATOS 1'!$C$5,'[1]DATOS 1'!$B$5,IF(B41='[1]DATOS 1'!$C$6,'[1]DATOS 1'!$B$6,IF(B41='[1]DATOS 1'!$C$7,'[1]DATOS 1'!$B$7,IF(B41='[1]DATOS 1'!$C$8,'[1]DATOS 1'!$B$8,IF(B41='[1]DATOS 1'!$C$9,'[1]DATOS 1'!$B$9,IF(B41='[1]DATOS 1'!$C$10,'[1]DATOS 1'!$B$10,IF(B41='[1]DATOS 1'!$C$11,'[1]DATOS 1'!$B$11,IF(B41='[1]DATOS 1'!$C$12,'[1]DATOS 1'!$B$12,IF(B41='[1]DATOS 1'!$C$13,'[1]DATOS 1'!$B$13,IF(B41='[1]DATOS 1'!$C$14,'[1]DATOS 1'!$B$14,IF(B41='[1]DATOS 1'!$C$15,'[1]DATOS 1'!$B$15,IF(B41='[1]DATOS 1'!$C$16,'[1]DATOS 1'!$B$16,IF(B41='[1]DATOS 1'!$C$17,'[1]DATOS 1'!$B$17,IF(B41='[1]DATOS 1'!$C$18,'[1]DATOS 1'!$B$18,IF(B41='[1]DATOS 1'!$C$19,'[1]DATOS 1'!$B$19,IF(B41='[1]DATOS 1'!$C$20,'[1]DATOS 1'!$B$20,IF(B41='[1]DATOS 1'!$C$21,'[1]DATOS 1'!$B$21,IF(B41='[1]DATOS 1'!$C$22,'[1]DATOS 1'!$B$22,IF(B41='[1]DATOS 1'!$C$23,'[1]DATOS 1'!$B$23,IF(B41='[1]DATOS 1'!$C$24,'[1]DATOS 1'!$B$24,IF(B41='[1]DATOS 1'!$C$25,'[1]DATOS 1'!$B$25,IF(B41='[1]DATOS 1'!$C$26,'[1]DATOS 1'!$B$26,IF(B41='[1]DATOS 1'!$C$27,'[1]DATOS 1'!$B$27,IF(B41='[1]DATOS 1'!$C$28,'[1]DATOS 1'!$B$28,IF(B41='[1]DATOS 1'!$C$29,'[1]DATOS 1'!$B$29,IF(B41='[1]DATOS 1'!$C$30,'[1]DATOS 1'!$B$30,IF(B41='[1]DATOS 1'!$C$31,'[1]DATOS 1'!$B$31,IF(B41='[1]DATOS 1'!$C$32,'[1]DATOS 1'!$B$32,IF(B41='[1]DATOS 1'!$C$33,'[1]DATOS 1'!$B$33,IF(B41='[1]DATOS 1'!$C$34,'[1]DATOS 1'!$B$34,IF(B41='[1]DATOS 1'!$C$35,'[1]DATOS 1'!$B$35," ")))))))))))))))))))))))))))))))))</f>
        <v>DCD. INSTITUCIONAL</v>
      </c>
      <c r="D41" s="78" t="s">
        <v>122</v>
      </c>
      <c r="E41" s="2" t="s">
        <v>491</v>
      </c>
      <c r="F41" s="79" t="s">
        <v>551</v>
      </c>
      <c r="G41" s="79">
        <v>36</v>
      </c>
      <c r="H41" s="2"/>
      <c r="I41" s="94">
        <v>530804</v>
      </c>
      <c r="J41" s="71" t="s">
        <v>524</v>
      </c>
      <c r="K41" s="106">
        <v>10.214</v>
      </c>
      <c r="L41" s="106">
        <f t="shared" si="0"/>
        <v>367.70400000000001</v>
      </c>
    </row>
    <row r="42" spans="1:12" ht="45" x14ac:dyDescent="0.25">
      <c r="A42" s="49"/>
      <c r="B42" s="51" t="s">
        <v>147</v>
      </c>
      <c r="C42" s="50" t="str">
        <f>IF(B42='[1]DATOS 1'!$C$3,'[1]DATOS 1'!$B$3,IF(B42='[1]DATOS 1'!$C$4,'[1]DATOS 1'!$B$4,IF(B42='[1]DATOS 1'!$C$5,'[1]DATOS 1'!$B$5,IF(B42='[1]DATOS 1'!$C$6,'[1]DATOS 1'!$B$6,IF(B42='[1]DATOS 1'!$C$7,'[1]DATOS 1'!$B$7,IF(B42='[1]DATOS 1'!$C$8,'[1]DATOS 1'!$B$8,IF(B42='[1]DATOS 1'!$C$9,'[1]DATOS 1'!$B$9,IF(B42='[1]DATOS 1'!$C$10,'[1]DATOS 1'!$B$10,IF(B42='[1]DATOS 1'!$C$11,'[1]DATOS 1'!$B$11,IF(B42='[1]DATOS 1'!$C$12,'[1]DATOS 1'!$B$12,IF(B42='[1]DATOS 1'!$C$13,'[1]DATOS 1'!$B$13,IF(B42='[1]DATOS 1'!$C$14,'[1]DATOS 1'!$B$14,IF(B42='[1]DATOS 1'!$C$15,'[1]DATOS 1'!$B$15,IF(B42='[1]DATOS 1'!$C$16,'[1]DATOS 1'!$B$16,IF(B42='[1]DATOS 1'!$C$17,'[1]DATOS 1'!$B$17,IF(B42='[1]DATOS 1'!$C$18,'[1]DATOS 1'!$B$18,IF(B42='[1]DATOS 1'!$C$19,'[1]DATOS 1'!$B$19,IF(B42='[1]DATOS 1'!$C$20,'[1]DATOS 1'!$B$20,IF(B42='[1]DATOS 1'!$C$21,'[1]DATOS 1'!$B$21,IF(B42='[1]DATOS 1'!$C$22,'[1]DATOS 1'!$B$22,IF(B42='[1]DATOS 1'!$C$23,'[1]DATOS 1'!$B$23,IF(B42='[1]DATOS 1'!$C$24,'[1]DATOS 1'!$B$24,IF(B42='[1]DATOS 1'!$C$25,'[1]DATOS 1'!$B$25,IF(B42='[1]DATOS 1'!$C$26,'[1]DATOS 1'!$B$26,IF(B42='[1]DATOS 1'!$C$27,'[1]DATOS 1'!$B$27,IF(B42='[1]DATOS 1'!$C$28,'[1]DATOS 1'!$B$28,IF(B42='[1]DATOS 1'!$C$29,'[1]DATOS 1'!$B$29,IF(B42='[1]DATOS 1'!$C$30,'[1]DATOS 1'!$B$30,IF(B42='[1]DATOS 1'!$C$31,'[1]DATOS 1'!$B$31,IF(B42='[1]DATOS 1'!$C$32,'[1]DATOS 1'!$B$32,IF(B42='[1]DATOS 1'!$C$33,'[1]DATOS 1'!$B$33,IF(B42='[1]DATOS 1'!$C$34,'[1]DATOS 1'!$B$34,IF(B42='[1]DATOS 1'!$C$35,'[1]DATOS 1'!$B$35," ")))))))))))))))))))))))))))))))))</f>
        <v>DCD. INSTITUCIONAL</v>
      </c>
      <c r="D42" s="78" t="s">
        <v>122</v>
      </c>
      <c r="E42" s="2" t="s">
        <v>492</v>
      </c>
      <c r="F42" s="79" t="s">
        <v>551</v>
      </c>
      <c r="G42" s="79">
        <v>36</v>
      </c>
      <c r="H42" s="2"/>
      <c r="I42" s="94">
        <v>530804</v>
      </c>
      <c r="J42" s="71" t="s">
        <v>524</v>
      </c>
      <c r="K42" s="106">
        <v>10.214</v>
      </c>
      <c r="L42" s="106">
        <f t="shared" si="0"/>
        <v>367.70400000000001</v>
      </c>
    </row>
    <row r="43" spans="1:12" ht="45" x14ac:dyDescent="0.25">
      <c r="A43" s="49"/>
      <c r="B43" s="51" t="s">
        <v>147</v>
      </c>
      <c r="C43" s="50" t="str">
        <f>IF(B43='[1]DATOS 1'!$C$3,'[1]DATOS 1'!$B$3,IF(B43='[1]DATOS 1'!$C$4,'[1]DATOS 1'!$B$4,IF(B43='[1]DATOS 1'!$C$5,'[1]DATOS 1'!$B$5,IF(B43='[1]DATOS 1'!$C$6,'[1]DATOS 1'!$B$6,IF(B43='[1]DATOS 1'!$C$7,'[1]DATOS 1'!$B$7,IF(B43='[1]DATOS 1'!$C$8,'[1]DATOS 1'!$B$8,IF(B43='[1]DATOS 1'!$C$9,'[1]DATOS 1'!$B$9,IF(B43='[1]DATOS 1'!$C$10,'[1]DATOS 1'!$B$10,IF(B43='[1]DATOS 1'!$C$11,'[1]DATOS 1'!$B$11,IF(B43='[1]DATOS 1'!$C$12,'[1]DATOS 1'!$B$12,IF(B43='[1]DATOS 1'!$C$13,'[1]DATOS 1'!$B$13,IF(B43='[1]DATOS 1'!$C$14,'[1]DATOS 1'!$B$14,IF(B43='[1]DATOS 1'!$C$15,'[1]DATOS 1'!$B$15,IF(B43='[1]DATOS 1'!$C$16,'[1]DATOS 1'!$B$16,IF(B43='[1]DATOS 1'!$C$17,'[1]DATOS 1'!$B$17,IF(B43='[1]DATOS 1'!$C$18,'[1]DATOS 1'!$B$18,IF(B43='[1]DATOS 1'!$C$19,'[1]DATOS 1'!$B$19,IF(B43='[1]DATOS 1'!$C$20,'[1]DATOS 1'!$B$20,IF(B43='[1]DATOS 1'!$C$21,'[1]DATOS 1'!$B$21,IF(B43='[1]DATOS 1'!$C$22,'[1]DATOS 1'!$B$22,IF(B43='[1]DATOS 1'!$C$23,'[1]DATOS 1'!$B$23,IF(B43='[1]DATOS 1'!$C$24,'[1]DATOS 1'!$B$24,IF(B43='[1]DATOS 1'!$C$25,'[1]DATOS 1'!$B$25,IF(B43='[1]DATOS 1'!$C$26,'[1]DATOS 1'!$B$26,IF(B43='[1]DATOS 1'!$C$27,'[1]DATOS 1'!$B$27,IF(B43='[1]DATOS 1'!$C$28,'[1]DATOS 1'!$B$28,IF(B43='[1]DATOS 1'!$C$29,'[1]DATOS 1'!$B$29,IF(B43='[1]DATOS 1'!$C$30,'[1]DATOS 1'!$B$30,IF(B43='[1]DATOS 1'!$C$31,'[1]DATOS 1'!$B$31,IF(B43='[1]DATOS 1'!$C$32,'[1]DATOS 1'!$B$32,IF(B43='[1]DATOS 1'!$C$33,'[1]DATOS 1'!$B$33,IF(B43='[1]DATOS 1'!$C$34,'[1]DATOS 1'!$B$34,IF(B43='[1]DATOS 1'!$C$35,'[1]DATOS 1'!$B$35," ")))))))))))))))))))))))))))))))))</f>
        <v>DCD. INSTITUCIONAL</v>
      </c>
      <c r="D43" s="78" t="s">
        <v>122</v>
      </c>
      <c r="E43" s="2" t="s">
        <v>493</v>
      </c>
      <c r="F43" s="79" t="s">
        <v>551</v>
      </c>
      <c r="G43" s="79">
        <v>36</v>
      </c>
      <c r="H43" s="2"/>
      <c r="I43" s="94">
        <v>530804</v>
      </c>
      <c r="J43" s="71" t="s">
        <v>524</v>
      </c>
      <c r="K43" s="106">
        <v>10.214</v>
      </c>
      <c r="L43" s="106">
        <f t="shared" si="0"/>
        <v>367.70400000000001</v>
      </c>
    </row>
    <row r="44" spans="1:12" ht="45" x14ac:dyDescent="0.25">
      <c r="A44" s="49"/>
      <c r="B44" s="51" t="s">
        <v>147</v>
      </c>
      <c r="C44" s="50" t="str">
        <f>IF(B44='[1]DATOS 1'!$C$3,'[1]DATOS 1'!$B$3,IF(B44='[1]DATOS 1'!$C$4,'[1]DATOS 1'!$B$4,IF(B44='[1]DATOS 1'!$C$5,'[1]DATOS 1'!$B$5,IF(B44='[1]DATOS 1'!$C$6,'[1]DATOS 1'!$B$6,IF(B44='[1]DATOS 1'!$C$7,'[1]DATOS 1'!$B$7,IF(B44='[1]DATOS 1'!$C$8,'[1]DATOS 1'!$B$8,IF(B44='[1]DATOS 1'!$C$9,'[1]DATOS 1'!$B$9,IF(B44='[1]DATOS 1'!$C$10,'[1]DATOS 1'!$B$10,IF(B44='[1]DATOS 1'!$C$11,'[1]DATOS 1'!$B$11,IF(B44='[1]DATOS 1'!$C$12,'[1]DATOS 1'!$B$12,IF(B44='[1]DATOS 1'!$C$13,'[1]DATOS 1'!$B$13,IF(B44='[1]DATOS 1'!$C$14,'[1]DATOS 1'!$B$14,IF(B44='[1]DATOS 1'!$C$15,'[1]DATOS 1'!$B$15,IF(B44='[1]DATOS 1'!$C$16,'[1]DATOS 1'!$B$16,IF(B44='[1]DATOS 1'!$C$17,'[1]DATOS 1'!$B$17,IF(B44='[1]DATOS 1'!$C$18,'[1]DATOS 1'!$B$18,IF(B44='[1]DATOS 1'!$C$19,'[1]DATOS 1'!$B$19,IF(B44='[1]DATOS 1'!$C$20,'[1]DATOS 1'!$B$20,IF(B44='[1]DATOS 1'!$C$21,'[1]DATOS 1'!$B$21,IF(B44='[1]DATOS 1'!$C$22,'[1]DATOS 1'!$B$22,IF(B44='[1]DATOS 1'!$C$23,'[1]DATOS 1'!$B$23,IF(B44='[1]DATOS 1'!$C$24,'[1]DATOS 1'!$B$24,IF(B44='[1]DATOS 1'!$C$25,'[1]DATOS 1'!$B$25,IF(B44='[1]DATOS 1'!$C$26,'[1]DATOS 1'!$B$26,IF(B44='[1]DATOS 1'!$C$27,'[1]DATOS 1'!$B$27,IF(B44='[1]DATOS 1'!$C$28,'[1]DATOS 1'!$B$28,IF(B44='[1]DATOS 1'!$C$29,'[1]DATOS 1'!$B$29,IF(B44='[1]DATOS 1'!$C$30,'[1]DATOS 1'!$B$30,IF(B44='[1]DATOS 1'!$C$31,'[1]DATOS 1'!$B$31,IF(B44='[1]DATOS 1'!$C$32,'[1]DATOS 1'!$B$32,IF(B44='[1]DATOS 1'!$C$33,'[1]DATOS 1'!$B$33,IF(B44='[1]DATOS 1'!$C$34,'[1]DATOS 1'!$B$34,IF(B44='[1]DATOS 1'!$C$35,'[1]DATOS 1'!$B$35," ")))))))))))))))))))))))))))))))))</f>
        <v>DCD. INSTITUCIONAL</v>
      </c>
      <c r="D44" s="78" t="s">
        <v>122</v>
      </c>
      <c r="E44" s="2" t="s">
        <v>494</v>
      </c>
      <c r="F44" s="79" t="s">
        <v>551</v>
      </c>
      <c r="G44" s="79">
        <v>48</v>
      </c>
      <c r="H44" s="2"/>
      <c r="I44" s="94">
        <v>530804</v>
      </c>
      <c r="J44" s="71" t="s">
        <v>524</v>
      </c>
      <c r="K44" s="106">
        <v>0.27379999999999999</v>
      </c>
      <c r="L44" s="106">
        <f t="shared" si="0"/>
        <v>13.142399999999999</v>
      </c>
    </row>
    <row r="45" spans="1:12" ht="30" x14ac:dyDescent="0.25">
      <c r="A45" s="49"/>
      <c r="B45" s="51" t="s">
        <v>147</v>
      </c>
      <c r="C45" s="50" t="str">
        <f>IF(B45='[1]DATOS 1'!$C$3,'[1]DATOS 1'!$B$3,IF(B45='[1]DATOS 1'!$C$4,'[1]DATOS 1'!$B$4,IF(B45='[1]DATOS 1'!$C$5,'[1]DATOS 1'!$B$5,IF(B45='[1]DATOS 1'!$C$6,'[1]DATOS 1'!$B$6,IF(B45='[1]DATOS 1'!$C$7,'[1]DATOS 1'!$B$7,IF(B45='[1]DATOS 1'!$C$8,'[1]DATOS 1'!$B$8,IF(B45='[1]DATOS 1'!$C$9,'[1]DATOS 1'!$B$9,IF(B45='[1]DATOS 1'!$C$10,'[1]DATOS 1'!$B$10,IF(B45='[1]DATOS 1'!$C$11,'[1]DATOS 1'!$B$11,IF(B45='[1]DATOS 1'!$C$12,'[1]DATOS 1'!$B$12,IF(B45='[1]DATOS 1'!$C$13,'[1]DATOS 1'!$B$13,IF(B45='[1]DATOS 1'!$C$14,'[1]DATOS 1'!$B$14,IF(B45='[1]DATOS 1'!$C$15,'[1]DATOS 1'!$B$15,IF(B45='[1]DATOS 1'!$C$16,'[1]DATOS 1'!$B$16,IF(B45='[1]DATOS 1'!$C$17,'[1]DATOS 1'!$B$17,IF(B45='[1]DATOS 1'!$C$18,'[1]DATOS 1'!$B$18,IF(B45='[1]DATOS 1'!$C$19,'[1]DATOS 1'!$B$19,IF(B45='[1]DATOS 1'!$C$20,'[1]DATOS 1'!$B$20,IF(B45='[1]DATOS 1'!$C$21,'[1]DATOS 1'!$B$21,IF(B45='[1]DATOS 1'!$C$22,'[1]DATOS 1'!$B$22,IF(B45='[1]DATOS 1'!$C$23,'[1]DATOS 1'!$B$23,IF(B45='[1]DATOS 1'!$C$24,'[1]DATOS 1'!$B$24,IF(B45='[1]DATOS 1'!$C$25,'[1]DATOS 1'!$B$25,IF(B45='[1]DATOS 1'!$C$26,'[1]DATOS 1'!$B$26,IF(B45='[1]DATOS 1'!$C$27,'[1]DATOS 1'!$B$27,IF(B45='[1]DATOS 1'!$C$28,'[1]DATOS 1'!$B$28,IF(B45='[1]DATOS 1'!$C$29,'[1]DATOS 1'!$B$29,IF(B45='[1]DATOS 1'!$C$30,'[1]DATOS 1'!$B$30,IF(B45='[1]DATOS 1'!$C$31,'[1]DATOS 1'!$B$31,IF(B45='[1]DATOS 1'!$C$32,'[1]DATOS 1'!$B$32,IF(B45='[1]DATOS 1'!$C$33,'[1]DATOS 1'!$B$33,IF(B45='[1]DATOS 1'!$C$34,'[1]DATOS 1'!$B$34,IF(B45='[1]DATOS 1'!$C$35,'[1]DATOS 1'!$B$35," ")))))))))))))))))))))))))))))))))</f>
        <v>DCD. INSTITUCIONAL</v>
      </c>
      <c r="D45" s="78" t="s">
        <v>122</v>
      </c>
      <c r="E45" s="2" t="s">
        <v>495</v>
      </c>
      <c r="F45" s="79" t="s">
        <v>551</v>
      </c>
      <c r="G45" s="79">
        <v>48</v>
      </c>
      <c r="H45" s="2"/>
      <c r="I45" s="94">
        <v>530804</v>
      </c>
      <c r="J45" s="71" t="s">
        <v>524</v>
      </c>
      <c r="K45" s="106">
        <v>0.69030000000000002</v>
      </c>
      <c r="L45" s="106">
        <f t="shared" si="0"/>
        <v>33.134399999999999</v>
      </c>
    </row>
    <row r="46" spans="1:12" ht="30" x14ac:dyDescent="0.25">
      <c r="A46" s="49"/>
      <c r="B46" s="51" t="s">
        <v>147</v>
      </c>
      <c r="C46" s="50" t="str">
        <f>IF(B46='[1]DATOS 1'!$C$3,'[1]DATOS 1'!$B$3,IF(B46='[1]DATOS 1'!$C$4,'[1]DATOS 1'!$B$4,IF(B46='[1]DATOS 1'!$C$5,'[1]DATOS 1'!$B$5,IF(B46='[1]DATOS 1'!$C$6,'[1]DATOS 1'!$B$6,IF(B46='[1]DATOS 1'!$C$7,'[1]DATOS 1'!$B$7,IF(B46='[1]DATOS 1'!$C$8,'[1]DATOS 1'!$B$8,IF(B46='[1]DATOS 1'!$C$9,'[1]DATOS 1'!$B$9,IF(B46='[1]DATOS 1'!$C$10,'[1]DATOS 1'!$B$10,IF(B46='[1]DATOS 1'!$C$11,'[1]DATOS 1'!$B$11,IF(B46='[1]DATOS 1'!$C$12,'[1]DATOS 1'!$B$12,IF(B46='[1]DATOS 1'!$C$13,'[1]DATOS 1'!$B$13,IF(B46='[1]DATOS 1'!$C$14,'[1]DATOS 1'!$B$14,IF(B46='[1]DATOS 1'!$C$15,'[1]DATOS 1'!$B$15,IF(B46='[1]DATOS 1'!$C$16,'[1]DATOS 1'!$B$16,IF(B46='[1]DATOS 1'!$C$17,'[1]DATOS 1'!$B$17,IF(B46='[1]DATOS 1'!$C$18,'[1]DATOS 1'!$B$18,IF(B46='[1]DATOS 1'!$C$19,'[1]DATOS 1'!$B$19,IF(B46='[1]DATOS 1'!$C$20,'[1]DATOS 1'!$B$20,IF(B46='[1]DATOS 1'!$C$21,'[1]DATOS 1'!$B$21,IF(B46='[1]DATOS 1'!$C$22,'[1]DATOS 1'!$B$22,IF(B46='[1]DATOS 1'!$C$23,'[1]DATOS 1'!$B$23,IF(B46='[1]DATOS 1'!$C$24,'[1]DATOS 1'!$B$24,IF(B46='[1]DATOS 1'!$C$25,'[1]DATOS 1'!$B$25,IF(B46='[1]DATOS 1'!$C$26,'[1]DATOS 1'!$B$26,IF(B46='[1]DATOS 1'!$C$27,'[1]DATOS 1'!$B$27,IF(B46='[1]DATOS 1'!$C$28,'[1]DATOS 1'!$B$28,IF(B46='[1]DATOS 1'!$C$29,'[1]DATOS 1'!$B$29,IF(B46='[1]DATOS 1'!$C$30,'[1]DATOS 1'!$B$30,IF(B46='[1]DATOS 1'!$C$31,'[1]DATOS 1'!$B$31,IF(B46='[1]DATOS 1'!$C$32,'[1]DATOS 1'!$B$32,IF(B46='[1]DATOS 1'!$C$33,'[1]DATOS 1'!$B$33,IF(B46='[1]DATOS 1'!$C$34,'[1]DATOS 1'!$B$34,IF(B46='[1]DATOS 1'!$C$35,'[1]DATOS 1'!$B$35," ")))))))))))))))))))))))))))))))))</f>
        <v>DCD. INSTITUCIONAL</v>
      </c>
      <c r="D46" s="78" t="s">
        <v>122</v>
      </c>
      <c r="E46" s="2" t="s">
        <v>496</v>
      </c>
      <c r="F46" s="79" t="s">
        <v>551</v>
      </c>
      <c r="G46" s="79">
        <v>12</v>
      </c>
      <c r="H46" s="2"/>
      <c r="I46" s="94">
        <v>530804</v>
      </c>
      <c r="J46" s="71" t="s">
        <v>524</v>
      </c>
      <c r="K46" s="106">
        <v>0.2233</v>
      </c>
      <c r="L46" s="106">
        <f t="shared" si="0"/>
        <v>2.6795999999999998</v>
      </c>
    </row>
    <row r="47" spans="1:12" ht="30" x14ac:dyDescent="0.25">
      <c r="A47" s="49"/>
      <c r="B47" s="51" t="s">
        <v>147</v>
      </c>
      <c r="C47" s="50" t="str">
        <f>IF(B47='[1]DATOS 1'!$C$3,'[1]DATOS 1'!$B$3,IF(B47='[1]DATOS 1'!$C$4,'[1]DATOS 1'!$B$4,IF(B47='[1]DATOS 1'!$C$5,'[1]DATOS 1'!$B$5,IF(B47='[1]DATOS 1'!$C$6,'[1]DATOS 1'!$B$6,IF(B47='[1]DATOS 1'!$C$7,'[1]DATOS 1'!$B$7,IF(B47='[1]DATOS 1'!$C$8,'[1]DATOS 1'!$B$8,IF(B47='[1]DATOS 1'!$C$9,'[1]DATOS 1'!$B$9,IF(B47='[1]DATOS 1'!$C$10,'[1]DATOS 1'!$B$10,IF(B47='[1]DATOS 1'!$C$11,'[1]DATOS 1'!$B$11,IF(B47='[1]DATOS 1'!$C$12,'[1]DATOS 1'!$B$12,IF(B47='[1]DATOS 1'!$C$13,'[1]DATOS 1'!$B$13,IF(B47='[1]DATOS 1'!$C$14,'[1]DATOS 1'!$B$14,IF(B47='[1]DATOS 1'!$C$15,'[1]DATOS 1'!$B$15,IF(B47='[1]DATOS 1'!$C$16,'[1]DATOS 1'!$B$16,IF(B47='[1]DATOS 1'!$C$17,'[1]DATOS 1'!$B$17,IF(B47='[1]DATOS 1'!$C$18,'[1]DATOS 1'!$B$18,IF(B47='[1]DATOS 1'!$C$19,'[1]DATOS 1'!$B$19,IF(B47='[1]DATOS 1'!$C$20,'[1]DATOS 1'!$B$20,IF(B47='[1]DATOS 1'!$C$21,'[1]DATOS 1'!$B$21,IF(B47='[1]DATOS 1'!$C$22,'[1]DATOS 1'!$B$22,IF(B47='[1]DATOS 1'!$C$23,'[1]DATOS 1'!$B$23,IF(B47='[1]DATOS 1'!$C$24,'[1]DATOS 1'!$B$24,IF(B47='[1]DATOS 1'!$C$25,'[1]DATOS 1'!$B$25,IF(B47='[1]DATOS 1'!$C$26,'[1]DATOS 1'!$B$26,IF(B47='[1]DATOS 1'!$C$27,'[1]DATOS 1'!$B$27,IF(B47='[1]DATOS 1'!$C$28,'[1]DATOS 1'!$B$28,IF(B47='[1]DATOS 1'!$C$29,'[1]DATOS 1'!$B$29,IF(B47='[1]DATOS 1'!$C$30,'[1]DATOS 1'!$B$30,IF(B47='[1]DATOS 1'!$C$31,'[1]DATOS 1'!$B$31,IF(B47='[1]DATOS 1'!$C$32,'[1]DATOS 1'!$B$32,IF(B47='[1]DATOS 1'!$C$33,'[1]DATOS 1'!$B$33,IF(B47='[1]DATOS 1'!$C$34,'[1]DATOS 1'!$B$34,IF(B47='[1]DATOS 1'!$C$35,'[1]DATOS 1'!$B$35," ")))))))))))))))))))))))))))))))))</f>
        <v>DCD. INSTITUCIONAL</v>
      </c>
      <c r="D47" s="78" t="s">
        <v>122</v>
      </c>
      <c r="E47" s="2" t="s">
        <v>497</v>
      </c>
      <c r="F47" s="79" t="s">
        <v>551</v>
      </c>
      <c r="G47" s="79">
        <v>36</v>
      </c>
      <c r="H47" s="2"/>
      <c r="I47" s="94">
        <v>530804</v>
      </c>
      <c r="J47" s="71" t="s">
        <v>524</v>
      </c>
      <c r="K47" s="106">
        <v>1.9766999999999999</v>
      </c>
      <c r="L47" s="106">
        <f t="shared" si="0"/>
        <v>71.161199999999994</v>
      </c>
    </row>
    <row r="48" spans="1:12" ht="45" x14ac:dyDescent="0.25">
      <c r="A48" s="49"/>
      <c r="B48" s="51" t="s">
        <v>147</v>
      </c>
      <c r="C48" s="50" t="str">
        <f>IF(B48='[1]DATOS 1'!$C$3,'[1]DATOS 1'!$B$3,IF(B48='[1]DATOS 1'!$C$4,'[1]DATOS 1'!$B$4,IF(B48='[1]DATOS 1'!$C$5,'[1]DATOS 1'!$B$5,IF(B48='[1]DATOS 1'!$C$6,'[1]DATOS 1'!$B$6,IF(B48='[1]DATOS 1'!$C$7,'[1]DATOS 1'!$B$7,IF(B48='[1]DATOS 1'!$C$8,'[1]DATOS 1'!$B$8,IF(B48='[1]DATOS 1'!$C$9,'[1]DATOS 1'!$B$9,IF(B48='[1]DATOS 1'!$C$10,'[1]DATOS 1'!$B$10,IF(B48='[1]DATOS 1'!$C$11,'[1]DATOS 1'!$B$11,IF(B48='[1]DATOS 1'!$C$12,'[1]DATOS 1'!$B$12,IF(B48='[1]DATOS 1'!$C$13,'[1]DATOS 1'!$B$13,IF(B48='[1]DATOS 1'!$C$14,'[1]DATOS 1'!$B$14,IF(B48='[1]DATOS 1'!$C$15,'[1]DATOS 1'!$B$15,IF(B48='[1]DATOS 1'!$C$16,'[1]DATOS 1'!$B$16,IF(B48='[1]DATOS 1'!$C$17,'[1]DATOS 1'!$B$17,IF(B48='[1]DATOS 1'!$C$18,'[1]DATOS 1'!$B$18,IF(B48='[1]DATOS 1'!$C$19,'[1]DATOS 1'!$B$19,IF(B48='[1]DATOS 1'!$C$20,'[1]DATOS 1'!$B$20,IF(B48='[1]DATOS 1'!$C$21,'[1]DATOS 1'!$B$21,IF(B48='[1]DATOS 1'!$C$22,'[1]DATOS 1'!$B$22,IF(B48='[1]DATOS 1'!$C$23,'[1]DATOS 1'!$B$23,IF(B48='[1]DATOS 1'!$C$24,'[1]DATOS 1'!$B$24,IF(B48='[1]DATOS 1'!$C$25,'[1]DATOS 1'!$B$25,IF(B48='[1]DATOS 1'!$C$26,'[1]DATOS 1'!$B$26,IF(B48='[1]DATOS 1'!$C$27,'[1]DATOS 1'!$B$27,IF(B48='[1]DATOS 1'!$C$28,'[1]DATOS 1'!$B$28,IF(B48='[1]DATOS 1'!$C$29,'[1]DATOS 1'!$B$29,IF(B48='[1]DATOS 1'!$C$30,'[1]DATOS 1'!$B$30,IF(B48='[1]DATOS 1'!$C$31,'[1]DATOS 1'!$B$31,IF(B48='[1]DATOS 1'!$C$32,'[1]DATOS 1'!$B$32,IF(B48='[1]DATOS 1'!$C$33,'[1]DATOS 1'!$B$33,IF(B48='[1]DATOS 1'!$C$34,'[1]DATOS 1'!$B$34,IF(B48='[1]DATOS 1'!$C$35,'[1]DATOS 1'!$B$35," ")))))))))))))))))))))))))))))))))</f>
        <v>DCD. INSTITUCIONAL</v>
      </c>
      <c r="D48" s="78" t="s">
        <v>122</v>
      </c>
      <c r="E48" s="2" t="s">
        <v>498</v>
      </c>
      <c r="F48" s="79" t="s">
        <v>551</v>
      </c>
      <c r="G48" s="79">
        <v>60</v>
      </c>
      <c r="H48" s="2"/>
      <c r="I48" s="94">
        <v>530804</v>
      </c>
      <c r="J48" s="71" t="s">
        <v>524</v>
      </c>
      <c r="K48" s="106">
        <v>6.4399999999999999E-2</v>
      </c>
      <c r="L48" s="106">
        <f t="shared" si="0"/>
        <v>3.8639999999999999</v>
      </c>
    </row>
    <row r="49" spans="1:12" ht="45" x14ac:dyDescent="0.25">
      <c r="A49" s="49"/>
      <c r="B49" s="51" t="s">
        <v>147</v>
      </c>
      <c r="C49" s="50" t="str">
        <f>IF(B49='[1]DATOS 1'!$C$3,'[1]DATOS 1'!$B$3,IF(B49='[1]DATOS 1'!$C$4,'[1]DATOS 1'!$B$4,IF(B49='[1]DATOS 1'!$C$5,'[1]DATOS 1'!$B$5,IF(B49='[1]DATOS 1'!$C$6,'[1]DATOS 1'!$B$6,IF(B49='[1]DATOS 1'!$C$7,'[1]DATOS 1'!$B$7,IF(B49='[1]DATOS 1'!$C$8,'[1]DATOS 1'!$B$8,IF(B49='[1]DATOS 1'!$C$9,'[1]DATOS 1'!$B$9,IF(B49='[1]DATOS 1'!$C$10,'[1]DATOS 1'!$B$10,IF(B49='[1]DATOS 1'!$C$11,'[1]DATOS 1'!$B$11,IF(B49='[1]DATOS 1'!$C$12,'[1]DATOS 1'!$B$12,IF(B49='[1]DATOS 1'!$C$13,'[1]DATOS 1'!$B$13,IF(B49='[1]DATOS 1'!$C$14,'[1]DATOS 1'!$B$14,IF(B49='[1]DATOS 1'!$C$15,'[1]DATOS 1'!$B$15,IF(B49='[1]DATOS 1'!$C$16,'[1]DATOS 1'!$B$16,IF(B49='[1]DATOS 1'!$C$17,'[1]DATOS 1'!$B$17,IF(B49='[1]DATOS 1'!$C$18,'[1]DATOS 1'!$B$18,IF(B49='[1]DATOS 1'!$C$19,'[1]DATOS 1'!$B$19,IF(B49='[1]DATOS 1'!$C$20,'[1]DATOS 1'!$B$20,IF(B49='[1]DATOS 1'!$C$21,'[1]DATOS 1'!$B$21,IF(B49='[1]DATOS 1'!$C$22,'[1]DATOS 1'!$B$22,IF(B49='[1]DATOS 1'!$C$23,'[1]DATOS 1'!$B$23,IF(B49='[1]DATOS 1'!$C$24,'[1]DATOS 1'!$B$24,IF(B49='[1]DATOS 1'!$C$25,'[1]DATOS 1'!$B$25,IF(B49='[1]DATOS 1'!$C$26,'[1]DATOS 1'!$B$26,IF(B49='[1]DATOS 1'!$C$27,'[1]DATOS 1'!$B$27,IF(B49='[1]DATOS 1'!$C$28,'[1]DATOS 1'!$B$28,IF(B49='[1]DATOS 1'!$C$29,'[1]DATOS 1'!$B$29,IF(B49='[1]DATOS 1'!$C$30,'[1]DATOS 1'!$B$30,IF(B49='[1]DATOS 1'!$C$31,'[1]DATOS 1'!$B$31,IF(B49='[1]DATOS 1'!$C$32,'[1]DATOS 1'!$B$32,IF(B49='[1]DATOS 1'!$C$33,'[1]DATOS 1'!$B$33,IF(B49='[1]DATOS 1'!$C$34,'[1]DATOS 1'!$B$34,IF(B49='[1]DATOS 1'!$C$35,'[1]DATOS 1'!$B$35," ")))))))))))))))))))))))))))))))))</f>
        <v>DCD. INSTITUCIONAL</v>
      </c>
      <c r="D49" s="78" t="s">
        <v>122</v>
      </c>
      <c r="E49" s="2" t="s">
        <v>499</v>
      </c>
      <c r="F49" s="79" t="s">
        <v>551</v>
      </c>
      <c r="G49" s="79">
        <v>12</v>
      </c>
      <c r="H49" s="2"/>
      <c r="I49" s="94">
        <v>530804</v>
      </c>
      <c r="J49" s="71" t="s">
        <v>524</v>
      </c>
      <c r="K49" s="106">
        <v>9.23</v>
      </c>
      <c r="L49" s="106">
        <f t="shared" si="0"/>
        <v>110.76</v>
      </c>
    </row>
    <row r="50" spans="1:12" ht="30" x14ac:dyDescent="0.25">
      <c r="A50" s="49"/>
      <c r="B50" s="51" t="s">
        <v>147</v>
      </c>
      <c r="C50" s="50" t="str">
        <f>IF(B50='[1]DATOS 1'!$C$3,'[1]DATOS 1'!$B$3,IF(B50='[1]DATOS 1'!$C$4,'[1]DATOS 1'!$B$4,IF(B50='[1]DATOS 1'!$C$5,'[1]DATOS 1'!$B$5,IF(B50='[1]DATOS 1'!$C$6,'[1]DATOS 1'!$B$6,IF(B50='[1]DATOS 1'!$C$7,'[1]DATOS 1'!$B$7,IF(B50='[1]DATOS 1'!$C$8,'[1]DATOS 1'!$B$8,IF(B50='[1]DATOS 1'!$C$9,'[1]DATOS 1'!$B$9,IF(B50='[1]DATOS 1'!$C$10,'[1]DATOS 1'!$B$10,IF(B50='[1]DATOS 1'!$C$11,'[1]DATOS 1'!$B$11,IF(B50='[1]DATOS 1'!$C$12,'[1]DATOS 1'!$B$12,IF(B50='[1]DATOS 1'!$C$13,'[1]DATOS 1'!$B$13,IF(B50='[1]DATOS 1'!$C$14,'[1]DATOS 1'!$B$14,IF(B50='[1]DATOS 1'!$C$15,'[1]DATOS 1'!$B$15,IF(B50='[1]DATOS 1'!$C$16,'[1]DATOS 1'!$B$16,IF(B50='[1]DATOS 1'!$C$17,'[1]DATOS 1'!$B$17,IF(B50='[1]DATOS 1'!$C$18,'[1]DATOS 1'!$B$18,IF(B50='[1]DATOS 1'!$C$19,'[1]DATOS 1'!$B$19,IF(B50='[1]DATOS 1'!$C$20,'[1]DATOS 1'!$B$20,IF(B50='[1]DATOS 1'!$C$21,'[1]DATOS 1'!$B$21,IF(B50='[1]DATOS 1'!$C$22,'[1]DATOS 1'!$B$22,IF(B50='[1]DATOS 1'!$C$23,'[1]DATOS 1'!$B$23,IF(B50='[1]DATOS 1'!$C$24,'[1]DATOS 1'!$B$24,IF(B50='[1]DATOS 1'!$C$25,'[1]DATOS 1'!$B$25,IF(B50='[1]DATOS 1'!$C$26,'[1]DATOS 1'!$B$26,IF(B50='[1]DATOS 1'!$C$27,'[1]DATOS 1'!$B$27,IF(B50='[1]DATOS 1'!$C$28,'[1]DATOS 1'!$B$28,IF(B50='[1]DATOS 1'!$C$29,'[1]DATOS 1'!$B$29,IF(B50='[1]DATOS 1'!$C$30,'[1]DATOS 1'!$B$30,IF(B50='[1]DATOS 1'!$C$31,'[1]DATOS 1'!$B$31,IF(B50='[1]DATOS 1'!$C$32,'[1]DATOS 1'!$B$32,IF(B50='[1]DATOS 1'!$C$33,'[1]DATOS 1'!$B$33,IF(B50='[1]DATOS 1'!$C$34,'[1]DATOS 1'!$B$34,IF(B50='[1]DATOS 1'!$C$35,'[1]DATOS 1'!$B$35," ")))))))))))))))))))))))))))))))))</f>
        <v>DCD. INSTITUCIONAL</v>
      </c>
      <c r="D50" s="78" t="s">
        <v>122</v>
      </c>
      <c r="E50" s="2" t="s">
        <v>500</v>
      </c>
      <c r="F50" s="79" t="s">
        <v>551</v>
      </c>
      <c r="G50" s="79">
        <v>36</v>
      </c>
      <c r="H50" s="2"/>
      <c r="I50" s="94">
        <v>530804</v>
      </c>
      <c r="J50" s="71" t="s">
        <v>524</v>
      </c>
      <c r="K50" s="106">
        <v>0.26200000000000001</v>
      </c>
      <c r="L50" s="106">
        <f t="shared" si="0"/>
        <v>9.4320000000000004</v>
      </c>
    </row>
    <row r="51" spans="1:12" ht="45" x14ac:dyDescent="0.25">
      <c r="A51" s="49"/>
      <c r="B51" s="51" t="s">
        <v>147</v>
      </c>
      <c r="C51" s="50" t="str">
        <f>IF(B51='[1]DATOS 1'!$C$3,'[1]DATOS 1'!$B$3,IF(B51='[1]DATOS 1'!$C$4,'[1]DATOS 1'!$B$4,IF(B51='[1]DATOS 1'!$C$5,'[1]DATOS 1'!$B$5,IF(B51='[1]DATOS 1'!$C$6,'[1]DATOS 1'!$B$6,IF(B51='[1]DATOS 1'!$C$7,'[1]DATOS 1'!$B$7,IF(B51='[1]DATOS 1'!$C$8,'[1]DATOS 1'!$B$8,IF(B51='[1]DATOS 1'!$C$9,'[1]DATOS 1'!$B$9,IF(B51='[1]DATOS 1'!$C$10,'[1]DATOS 1'!$B$10,IF(B51='[1]DATOS 1'!$C$11,'[1]DATOS 1'!$B$11,IF(B51='[1]DATOS 1'!$C$12,'[1]DATOS 1'!$B$12,IF(B51='[1]DATOS 1'!$C$13,'[1]DATOS 1'!$B$13,IF(B51='[1]DATOS 1'!$C$14,'[1]DATOS 1'!$B$14,IF(B51='[1]DATOS 1'!$C$15,'[1]DATOS 1'!$B$15,IF(B51='[1]DATOS 1'!$C$16,'[1]DATOS 1'!$B$16,IF(B51='[1]DATOS 1'!$C$17,'[1]DATOS 1'!$B$17,IF(B51='[1]DATOS 1'!$C$18,'[1]DATOS 1'!$B$18,IF(B51='[1]DATOS 1'!$C$19,'[1]DATOS 1'!$B$19,IF(B51='[1]DATOS 1'!$C$20,'[1]DATOS 1'!$B$20,IF(B51='[1]DATOS 1'!$C$21,'[1]DATOS 1'!$B$21,IF(B51='[1]DATOS 1'!$C$22,'[1]DATOS 1'!$B$22,IF(B51='[1]DATOS 1'!$C$23,'[1]DATOS 1'!$B$23,IF(B51='[1]DATOS 1'!$C$24,'[1]DATOS 1'!$B$24,IF(B51='[1]DATOS 1'!$C$25,'[1]DATOS 1'!$B$25,IF(B51='[1]DATOS 1'!$C$26,'[1]DATOS 1'!$B$26,IF(B51='[1]DATOS 1'!$C$27,'[1]DATOS 1'!$B$27,IF(B51='[1]DATOS 1'!$C$28,'[1]DATOS 1'!$B$28,IF(B51='[1]DATOS 1'!$C$29,'[1]DATOS 1'!$B$29,IF(B51='[1]DATOS 1'!$C$30,'[1]DATOS 1'!$B$30,IF(B51='[1]DATOS 1'!$C$31,'[1]DATOS 1'!$B$31,IF(B51='[1]DATOS 1'!$C$32,'[1]DATOS 1'!$B$32,IF(B51='[1]DATOS 1'!$C$33,'[1]DATOS 1'!$B$33,IF(B51='[1]DATOS 1'!$C$34,'[1]DATOS 1'!$B$34,IF(B51='[1]DATOS 1'!$C$35,'[1]DATOS 1'!$B$35," ")))))))))))))))))))))))))))))))))</f>
        <v>DCD. INSTITUCIONAL</v>
      </c>
      <c r="D51" s="78" t="s">
        <v>122</v>
      </c>
      <c r="E51" s="2" t="s">
        <v>501</v>
      </c>
      <c r="F51" s="79" t="s">
        <v>551</v>
      </c>
      <c r="G51" s="79">
        <v>48</v>
      </c>
      <c r="H51" s="2"/>
      <c r="I51" s="94">
        <v>530804</v>
      </c>
      <c r="J51" s="71" t="s">
        <v>524</v>
      </c>
      <c r="K51" s="106">
        <v>8.0640000000000001</v>
      </c>
      <c r="L51" s="106">
        <f t="shared" si="0"/>
        <v>387.072</v>
      </c>
    </row>
    <row r="52" spans="1:12" ht="45" x14ac:dyDescent="0.25">
      <c r="A52" s="49"/>
      <c r="B52" s="51" t="s">
        <v>147</v>
      </c>
      <c r="C52" s="50" t="str">
        <f>IF(B52='[1]DATOS 1'!$C$3,'[1]DATOS 1'!$B$3,IF(B52='[1]DATOS 1'!$C$4,'[1]DATOS 1'!$B$4,IF(B52='[1]DATOS 1'!$C$5,'[1]DATOS 1'!$B$5,IF(B52='[1]DATOS 1'!$C$6,'[1]DATOS 1'!$B$6,IF(B52='[1]DATOS 1'!$C$7,'[1]DATOS 1'!$B$7,IF(B52='[1]DATOS 1'!$C$8,'[1]DATOS 1'!$B$8,IF(B52='[1]DATOS 1'!$C$9,'[1]DATOS 1'!$B$9,IF(B52='[1]DATOS 1'!$C$10,'[1]DATOS 1'!$B$10,IF(B52='[1]DATOS 1'!$C$11,'[1]DATOS 1'!$B$11,IF(B52='[1]DATOS 1'!$C$12,'[1]DATOS 1'!$B$12,IF(B52='[1]DATOS 1'!$C$13,'[1]DATOS 1'!$B$13,IF(B52='[1]DATOS 1'!$C$14,'[1]DATOS 1'!$B$14,IF(B52='[1]DATOS 1'!$C$15,'[1]DATOS 1'!$B$15,IF(B52='[1]DATOS 1'!$C$16,'[1]DATOS 1'!$B$16,IF(B52='[1]DATOS 1'!$C$17,'[1]DATOS 1'!$B$17,IF(B52='[1]DATOS 1'!$C$18,'[1]DATOS 1'!$B$18,IF(B52='[1]DATOS 1'!$C$19,'[1]DATOS 1'!$B$19,IF(B52='[1]DATOS 1'!$C$20,'[1]DATOS 1'!$B$20,IF(B52='[1]DATOS 1'!$C$21,'[1]DATOS 1'!$B$21,IF(B52='[1]DATOS 1'!$C$22,'[1]DATOS 1'!$B$22,IF(B52='[1]DATOS 1'!$C$23,'[1]DATOS 1'!$B$23,IF(B52='[1]DATOS 1'!$C$24,'[1]DATOS 1'!$B$24,IF(B52='[1]DATOS 1'!$C$25,'[1]DATOS 1'!$B$25,IF(B52='[1]DATOS 1'!$C$26,'[1]DATOS 1'!$B$26,IF(B52='[1]DATOS 1'!$C$27,'[1]DATOS 1'!$B$27,IF(B52='[1]DATOS 1'!$C$28,'[1]DATOS 1'!$B$28,IF(B52='[1]DATOS 1'!$C$29,'[1]DATOS 1'!$B$29,IF(B52='[1]DATOS 1'!$C$30,'[1]DATOS 1'!$B$30,IF(B52='[1]DATOS 1'!$C$31,'[1]DATOS 1'!$B$31,IF(B52='[1]DATOS 1'!$C$32,'[1]DATOS 1'!$B$32,IF(B52='[1]DATOS 1'!$C$33,'[1]DATOS 1'!$B$33,IF(B52='[1]DATOS 1'!$C$34,'[1]DATOS 1'!$B$34,IF(B52='[1]DATOS 1'!$C$35,'[1]DATOS 1'!$B$35," ")))))))))))))))))))))))))))))))))</f>
        <v>DCD. INSTITUCIONAL</v>
      </c>
      <c r="D52" s="78" t="s">
        <v>122</v>
      </c>
      <c r="E52" s="2" t="s">
        <v>502</v>
      </c>
      <c r="F52" s="79" t="s">
        <v>551</v>
      </c>
      <c r="G52" s="79">
        <v>36</v>
      </c>
      <c r="H52" s="2"/>
      <c r="I52" s="94">
        <v>530804</v>
      </c>
      <c r="J52" s="71" t="s">
        <v>524</v>
      </c>
      <c r="K52" s="106">
        <v>0.249</v>
      </c>
      <c r="L52" s="106">
        <f t="shared" si="0"/>
        <v>8.9640000000000004</v>
      </c>
    </row>
    <row r="53" spans="1:12" ht="30" x14ac:dyDescent="0.25">
      <c r="A53" s="49"/>
      <c r="B53" s="51" t="s">
        <v>147</v>
      </c>
      <c r="C53" s="50" t="str">
        <f>IF(B53='[1]DATOS 1'!$C$3,'[1]DATOS 1'!$B$3,IF(B53='[1]DATOS 1'!$C$4,'[1]DATOS 1'!$B$4,IF(B53='[1]DATOS 1'!$C$5,'[1]DATOS 1'!$B$5,IF(B53='[1]DATOS 1'!$C$6,'[1]DATOS 1'!$B$6,IF(B53='[1]DATOS 1'!$C$7,'[1]DATOS 1'!$B$7,IF(B53='[1]DATOS 1'!$C$8,'[1]DATOS 1'!$B$8,IF(B53='[1]DATOS 1'!$C$9,'[1]DATOS 1'!$B$9,IF(B53='[1]DATOS 1'!$C$10,'[1]DATOS 1'!$B$10,IF(B53='[1]DATOS 1'!$C$11,'[1]DATOS 1'!$B$11,IF(B53='[1]DATOS 1'!$C$12,'[1]DATOS 1'!$B$12,IF(B53='[1]DATOS 1'!$C$13,'[1]DATOS 1'!$B$13,IF(B53='[1]DATOS 1'!$C$14,'[1]DATOS 1'!$B$14,IF(B53='[1]DATOS 1'!$C$15,'[1]DATOS 1'!$B$15,IF(B53='[1]DATOS 1'!$C$16,'[1]DATOS 1'!$B$16,IF(B53='[1]DATOS 1'!$C$17,'[1]DATOS 1'!$B$17,IF(B53='[1]DATOS 1'!$C$18,'[1]DATOS 1'!$B$18,IF(B53='[1]DATOS 1'!$C$19,'[1]DATOS 1'!$B$19,IF(B53='[1]DATOS 1'!$C$20,'[1]DATOS 1'!$B$20,IF(B53='[1]DATOS 1'!$C$21,'[1]DATOS 1'!$B$21,IF(B53='[1]DATOS 1'!$C$22,'[1]DATOS 1'!$B$22,IF(B53='[1]DATOS 1'!$C$23,'[1]DATOS 1'!$B$23,IF(B53='[1]DATOS 1'!$C$24,'[1]DATOS 1'!$B$24,IF(B53='[1]DATOS 1'!$C$25,'[1]DATOS 1'!$B$25,IF(B53='[1]DATOS 1'!$C$26,'[1]DATOS 1'!$B$26,IF(B53='[1]DATOS 1'!$C$27,'[1]DATOS 1'!$B$27,IF(B53='[1]DATOS 1'!$C$28,'[1]DATOS 1'!$B$28,IF(B53='[1]DATOS 1'!$C$29,'[1]DATOS 1'!$B$29,IF(B53='[1]DATOS 1'!$C$30,'[1]DATOS 1'!$B$30,IF(B53='[1]DATOS 1'!$C$31,'[1]DATOS 1'!$B$31,IF(B53='[1]DATOS 1'!$C$32,'[1]DATOS 1'!$B$32,IF(B53='[1]DATOS 1'!$C$33,'[1]DATOS 1'!$B$33,IF(B53='[1]DATOS 1'!$C$34,'[1]DATOS 1'!$B$34,IF(B53='[1]DATOS 1'!$C$35,'[1]DATOS 1'!$B$35," ")))))))))))))))))))))))))))))))))</f>
        <v>DCD. INSTITUCIONAL</v>
      </c>
      <c r="D53" s="78" t="s">
        <v>122</v>
      </c>
      <c r="E53" s="2" t="s">
        <v>503</v>
      </c>
      <c r="F53" s="79" t="s">
        <v>551</v>
      </c>
      <c r="G53" s="79">
        <v>500</v>
      </c>
      <c r="H53" s="2"/>
      <c r="I53" s="94">
        <v>530804</v>
      </c>
      <c r="J53" s="71" t="s">
        <v>524</v>
      </c>
      <c r="K53" s="106">
        <v>2.3933</v>
      </c>
      <c r="L53" s="106">
        <f t="shared" si="0"/>
        <v>1196.6500000000001</v>
      </c>
    </row>
    <row r="54" spans="1:12" ht="45" x14ac:dyDescent="0.25">
      <c r="A54" s="49"/>
      <c r="B54" s="51" t="s">
        <v>147</v>
      </c>
      <c r="C54" s="50" t="str">
        <f>IF(B54='[1]DATOS 1'!$C$3,'[1]DATOS 1'!$B$3,IF(B54='[1]DATOS 1'!$C$4,'[1]DATOS 1'!$B$4,IF(B54='[1]DATOS 1'!$C$5,'[1]DATOS 1'!$B$5,IF(B54='[1]DATOS 1'!$C$6,'[1]DATOS 1'!$B$6,IF(B54='[1]DATOS 1'!$C$7,'[1]DATOS 1'!$B$7,IF(B54='[1]DATOS 1'!$C$8,'[1]DATOS 1'!$B$8,IF(B54='[1]DATOS 1'!$C$9,'[1]DATOS 1'!$B$9,IF(B54='[1]DATOS 1'!$C$10,'[1]DATOS 1'!$B$10,IF(B54='[1]DATOS 1'!$C$11,'[1]DATOS 1'!$B$11,IF(B54='[1]DATOS 1'!$C$12,'[1]DATOS 1'!$B$12,IF(B54='[1]DATOS 1'!$C$13,'[1]DATOS 1'!$B$13,IF(B54='[1]DATOS 1'!$C$14,'[1]DATOS 1'!$B$14,IF(B54='[1]DATOS 1'!$C$15,'[1]DATOS 1'!$B$15,IF(B54='[1]DATOS 1'!$C$16,'[1]DATOS 1'!$B$16,IF(B54='[1]DATOS 1'!$C$17,'[1]DATOS 1'!$B$17,IF(B54='[1]DATOS 1'!$C$18,'[1]DATOS 1'!$B$18,IF(B54='[1]DATOS 1'!$C$19,'[1]DATOS 1'!$B$19,IF(B54='[1]DATOS 1'!$C$20,'[1]DATOS 1'!$B$20,IF(B54='[1]DATOS 1'!$C$21,'[1]DATOS 1'!$B$21,IF(B54='[1]DATOS 1'!$C$22,'[1]DATOS 1'!$B$22,IF(B54='[1]DATOS 1'!$C$23,'[1]DATOS 1'!$B$23,IF(B54='[1]DATOS 1'!$C$24,'[1]DATOS 1'!$B$24,IF(B54='[1]DATOS 1'!$C$25,'[1]DATOS 1'!$B$25,IF(B54='[1]DATOS 1'!$C$26,'[1]DATOS 1'!$B$26,IF(B54='[1]DATOS 1'!$C$27,'[1]DATOS 1'!$B$27,IF(B54='[1]DATOS 1'!$C$28,'[1]DATOS 1'!$B$28,IF(B54='[1]DATOS 1'!$C$29,'[1]DATOS 1'!$B$29,IF(B54='[1]DATOS 1'!$C$30,'[1]DATOS 1'!$B$30,IF(B54='[1]DATOS 1'!$C$31,'[1]DATOS 1'!$B$31,IF(B54='[1]DATOS 1'!$C$32,'[1]DATOS 1'!$B$32,IF(B54='[1]DATOS 1'!$C$33,'[1]DATOS 1'!$B$33,IF(B54='[1]DATOS 1'!$C$34,'[1]DATOS 1'!$B$34,IF(B54='[1]DATOS 1'!$C$35,'[1]DATOS 1'!$B$35," ")))))))))))))))))))))))))))))))))</f>
        <v>DCD. INSTITUCIONAL</v>
      </c>
      <c r="D54" s="78" t="s">
        <v>122</v>
      </c>
      <c r="E54" s="2" t="s">
        <v>504</v>
      </c>
      <c r="F54" s="79" t="s">
        <v>551</v>
      </c>
      <c r="G54" s="79">
        <v>48</v>
      </c>
      <c r="H54" s="2"/>
      <c r="I54" s="94">
        <v>530804</v>
      </c>
      <c r="J54" s="71" t="s">
        <v>524</v>
      </c>
      <c r="K54" s="106">
        <v>5.7103999999999999</v>
      </c>
      <c r="L54" s="106">
        <f t="shared" si="0"/>
        <v>274.0992</v>
      </c>
    </row>
    <row r="55" spans="1:12" ht="45" x14ac:dyDescent="0.25">
      <c r="A55" s="49"/>
      <c r="B55" s="51" t="s">
        <v>147</v>
      </c>
      <c r="C55" s="50" t="str">
        <f>IF(B55='[1]DATOS 1'!$C$3,'[1]DATOS 1'!$B$3,IF(B55='[1]DATOS 1'!$C$4,'[1]DATOS 1'!$B$4,IF(B55='[1]DATOS 1'!$C$5,'[1]DATOS 1'!$B$5,IF(B55='[1]DATOS 1'!$C$6,'[1]DATOS 1'!$B$6,IF(B55='[1]DATOS 1'!$C$7,'[1]DATOS 1'!$B$7,IF(B55='[1]DATOS 1'!$C$8,'[1]DATOS 1'!$B$8,IF(B55='[1]DATOS 1'!$C$9,'[1]DATOS 1'!$B$9,IF(B55='[1]DATOS 1'!$C$10,'[1]DATOS 1'!$B$10,IF(B55='[1]DATOS 1'!$C$11,'[1]DATOS 1'!$B$11,IF(B55='[1]DATOS 1'!$C$12,'[1]DATOS 1'!$B$12,IF(B55='[1]DATOS 1'!$C$13,'[1]DATOS 1'!$B$13,IF(B55='[1]DATOS 1'!$C$14,'[1]DATOS 1'!$B$14,IF(B55='[1]DATOS 1'!$C$15,'[1]DATOS 1'!$B$15,IF(B55='[1]DATOS 1'!$C$16,'[1]DATOS 1'!$B$16,IF(B55='[1]DATOS 1'!$C$17,'[1]DATOS 1'!$B$17,IF(B55='[1]DATOS 1'!$C$18,'[1]DATOS 1'!$B$18,IF(B55='[1]DATOS 1'!$C$19,'[1]DATOS 1'!$B$19,IF(B55='[1]DATOS 1'!$C$20,'[1]DATOS 1'!$B$20,IF(B55='[1]DATOS 1'!$C$21,'[1]DATOS 1'!$B$21,IF(B55='[1]DATOS 1'!$C$22,'[1]DATOS 1'!$B$22,IF(B55='[1]DATOS 1'!$C$23,'[1]DATOS 1'!$B$23,IF(B55='[1]DATOS 1'!$C$24,'[1]DATOS 1'!$B$24,IF(B55='[1]DATOS 1'!$C$25,'[1]DATOS 1'!$B$25,IF(B55='[1]DATOS 1'!$C$26,'[1]DATOS 1'!$B$26,IF(B55='[1]DATOS 1'!$C$27,'[1]DATOS 1'!$B$27,IF(B55='[1]DATOS 1'!$C$28,'[1]DATOS 1'!$B$28,IF(B55='[1]DATOS 1'!$C$29,'[1]DATOS 1'!$B$29,IF(B55='[1]DATOS 1'!$C$30,'[1]DATOS 1'!$B$30,IF(B55='[1]DATOS 1'!$C$31,'[1]DATOS 1'!$B$31,IF(B55='[1]DATOS 1'!$C$32,'[1]DATOS 1'!$B$32,IF(B55='[1]DATOS 1'!$C$33,'[1]DATOS 1'!$B$33,IF(B55='[1]DATOS 1'!$C$34,'[1]DATOS 1'!$B$34,IF(B55='[1]DATOS 1'!$C$35,'[1]DATOS 1'!$B$35," ")))))))))))))))))))))))))))))))))</f>
        <v>DCD. INSTITUCIONAL</v>
      </c>
      <c r="D55" s="78" t="s">
        <v>122</v>
      </c>
      <c r="E55" s="2" t="s">
        <v>505</v>
      </c>
      <c r="F55" s="79" t="s">
        <v>551</v>
      </c>
      <c r="G55" s="79">
        <v>48</v>
      </c>
      <c r="H55" s="2"/>
      <c r="I55" s="94">
        <v>530804</v>
      </c>
      <c r="J55" s="71" t="s">
        <v>524</v>
      </c>
      <c r="K55" s="106">
        <v>0.59770000000000001</v>
      </c>
      <c r="L55" s="106">
        <f t="shared" si="0"/>
        <v>28.689599999999999</v>
      </c>
    </row>
    <row r="56" spans="1:12" ht="30" x14ac:dyDescent="0.25">
      <c r="A56" s="49"/>
      <c r="B56" s="51" t="s">
        <v>147</v>
      </c>
      <c r="C56" s="50" t="str">
        <f>IF(B56='[1]DATOS 1'!$C$3,'[1]DATOS 1'!$B$3,IF(B56='[1]DATOS 1'!$C$4,'[1]DATOS 1'!$B$4,IF(B56='[1]DATOS 1'!$C$5,'[1]DATOS 1'!$B$5,IF(B56='[1]DATOS 1'!$C$6,'[1]DATOS 1'!$B$6,IF(B56='[1]DATOS 1'!$C$7,'[1]DATOS 1'!$B$7,IF(B56='[1]DATOS 1'!$C$8,'[1]DATOS 1'!$B$8,IF(B56='[1]DATOS 1'!$C$9,'[1]DATOS 1'!$B$9,IF(B56='[1]DATOS 1'!$C$10,'[1]DATOS 1'!$B$10,IF(B56='[1]DATOS 1'!$C$11,'[1]DATOS 1'!$B$11,IF(B56='[1]DATOS 1'!$C$12,'[1]DATOS 1'!$B$12,IF(B56='[1]DATOS 1'!$C$13,'[1]DATOS 1'!$B$13,IF(B56='[1]DATOS 1'!$C$14,'[1]DATOS 1'!$B$14,IF(B56='[1]DATOS 1'!$C$15,'[1]DATOS 1'!$B$15,IF(B56='[1]DATOS 1'!$C$16,'[1]DATOS 1'!$B$16,IF(B56='[1]DATOS 1'!$C$17,'[1]DATOS 1'!$B$17,IF(B56='[1]DATOS 1'!$C$18,'[1]DATOS 1'!$B$18,IF(B56='[1]DATOS 1'!$C$19,'[1]DATOS 1'!$B$19,IF(B56='[1]DATOS 1'!$C$20,'[1]DATOS 1'!$B$20,IF(B56='[1]DATOS 1'!$C$21,'[1]DATOS 1'!$B$21,IF(B56='[1]DATOS 1'!$C$22,'[1]DATOS 1'!$B$22,IF(B56='[1]DATOS 1'!$C$23,'[1]DATOS 1'!$B$23,IF(B56='[1]DATOS 1'!$C$24,'[1]DATOS 1'!$B$24,IF(B56='[1]DATOS 1'!$C$25,'[1]DATOS 1'!$B$25,IF(B56='[1]DATOS 1'!$C$26,'[1]DATOS 1'!$B$26,IF(B56='[1]DATOS 1'!$C$27,'[1]DATOS 1'!$B$27,IF(B56='[1]DATOS 1'!$C$28,'[1]DATOS 1'!$B$28,IF(B56='[1]DATOS 1'!$C$29,'[1]DATOS 1'!$B$29,IF(B56='[1]DATOS 1'!$C$30,'[1]DATOS 1'!$B$30,IF(B56='[1]DATOS 1'!$C$31,'[1]DATOS 1'!$B$31,IF(B56='[1]DATOS 1'!$C$32,'[1]DATOS 1'!$B$32,IF(B56='[1]DATOS 1'!$C$33,'[1]DATOS 1'!$B$33,IF(B56='[1]DATOS 1'!$C$34,'[1]DATOS 1'!$B$34,IF(B56='[1]DATOS 1'!$C$35,'[1]DATOS 1'!$B$35," ")))))))))))))))))))))))))))))))))</f>
        <v>DCD. INSTITUCIONAL</v>
      </c>
      <c r="D56" s="78" t="s">
        <v>122</v>
      </c>
      <c r="E56" s="2" t="s">
        <v>506</v>
      </c>
      <c r="F56" s="79" t="s">
        <v>551</v>
      </c>
      <c r="G56" s="79">
        <v>24</v>
      </c>
      <c r="H56" s="2"/>
      <c r="I56" s="94">
        <v>530804</v>
      </c>
      <c r="J56" s="71" t="s">
        <v>524</v>
      </c>
      <c r="K56" s="106">
        <v>1.6682999999999999</v>
      </c>
      <c r="L56" s="106">
        <f t="shared" si="0"/>
        <v>40.039199999999994</v>
      </c>
    </row>
    <row r="57" spans="1:12" ht="30" x14ac:dyDescent="0.25">
      <c r="A57" s="49"/>
      <c r="B57" s="51" t="s">
        <v>147</v>
      </c>
      <c r="C57" s="50" t="str">
        <f>IF(B57='[1]DATOS 1'!$C$3,'[1]DATOS 1'!$B$3,IF(B57='[1]DATOS 1'!$C$4,'[1]DATOS 1'!$B$4,IF(B57='[1]DATOS 1'!$C$5,'[1]DATOS 1'!$B$5,IF(B57='[1]DATOS 1'!$C$6,'[1]DATOS 1'!$B$6,IF(B57='[1]DATOS 1'!$C$7,'[1]DATOS 1'!$B$7,IF(B57='[1]DATOS 1'!$C$8,'[1]DATOS 1'!$B$8,IF(B57='[1]DATOS 1'!$C$9,'[1]DATOS 1'!$B$9,IF(B57='[1]DATOS 1'!$C$10,'[1]DATOS 1'!$B$10,IF(B57='[1]DATOS 1'!$C$11,'[1]DATOS 1'!$B$11,IF(B57='[1]DATOS 1'!$C$12,'[1]DATOS 1'!$B$12,IF(B57='[1]DATOS 1'!$C$13,'[1]DATOS 1'!$B$13,IF(B57='[1]DATOS 1'!$C$14,'[1]DATOS 1'!$B$14,IF(B57='[1]DATOS 1'!$C$15,'[1]DATOS 1'!$B$15,IF(B57='[1]DATOS 1'!$C$16,'[1]DATOS 1'!$B$16,IF(B57='[1]DATOS 1'!$C$17,'[1]DATOS 1'!$B$17,IF(B57='[1]DATOS 1'!$C$18,'[1]DATOS 1'!$B$18,IF(B57='[1]DATOS 1'!$C$19,'[1]DATOS 1'!$B$19,IF(B57='[1]DATOS 1'!$C$20,'[1]DATOS 1'!$B$20,IF(B57='[1]DATOS 1'!$C$21,'[1]DATOS 1'!$B$21,IF(B57='[1]DATOS 1'!$C$22,'[1]DATOS 1'!$B$22,IF(B57='[1]DATOS 1'!$C$23,'[1]DATOS 1'!$B$23,IF(B57='[1]DATOS 1'!$C$24,'[1]DATOS 1'!$B$24,IF(B57='[1]DATOS 1'!$C$25,'[1]DATOS 1'!$B$25,IF(B57='[1]DATOS 1'!$C$26,'[1]DATOS 1'!$B$26,IF(B57='[1]DATOS 1'!$C$27,'[1]DATOS 1'!$B$27,IF(B57='[1]DATOS 1'!$C$28,'[1]DATOS 1'!$B$28,IF(B57='[1]DATOS 1'!$C$29,'[1]DATOS 1'!$B$29,IF(B57='[1]DATOS 1'!$C$30,'[1]DATOS 1'!$B$30,IF(B57='[1]DATOS 1'!$C$31,'[1]DATOS 1'!$B$31,IF(B57='[1]DATOS 1'!$C$32,'[1]DATOS 1'!$B$32,IF(B57='[1]DATOS 1'!$C$33,'[1]DATOS 1'!$B$33,IF(B57='[1]DATOS 1'!$C$34,'[1]DATOS 1'!$B$34,IF(B57='[1]DATOS 1'!$C$35,'[1]DATOS 1'!$B$35," ")))))))))))))))))))))))))))))))))</f>
        <v>DCD. INSTITUCIONAL</v>
      </c>
      <c r="D57" s="78" t="s">
        <v>122</v>
      </c>
      <c r="E57" s="2" t="s">
        <v>507</v>
      </c>
      <c r="F57" s="79" t="s">
        <v>551</v>
      </c>
      <c r="G57" s="79">
        <v>24</v>
      </c>
      <c r="H57" s="2"/>
      <c r="I57" s="94">
        <v>530804</v>
      </c>
      <c r="J57" s="71" t="s">
        <v>524</v>
      </c>
      <c r="K57" s="106">
        <v>1.0583</v>
      </c>
      <c r="L57" s="106">
        <f t="shared" si="0"/>
        <v>25.3992</v>
      </c>
    </row>
    <row r="58" spans="1:12" ht="45" x14ac:dyDescent="0.25">
      <c r="A58" s="49"/>
      <c r="B58" s="51" t="s">
        <v>147</v>
      </c>
      <c r="C58" s="50" t="str">
        <f>IF(B58='[1]DATOS 1'!$C$3,'[1]DATOS 1'!$B$3,IF(B58='[1]DATOS 1'!$C$4,'[1]DATOS 1'!$B$4,IF(B58='[1]DATOS 1'!$C$5,'[1]DATOS 1'!$B$5,IF(B58='[1]DATOS 1'!$C$6,'[1]DATOS 1'!$B$6,IF(B58='[1]DATOS 1'!$C$7,'[1]DATOS 1'!$B$7,IF(B58='[1]DATOS 1'!$C$8,'[1]DATOS 1'!$B$8,IF(B58='[1]DATOS 1'!$C$9,'[1]DATOS 1'!$B$9,IF(B58='[1]DATOS 1'!$C$10,'[1]DATOS 1'!$B$10,IF(B58='[1]DATOS 1'!$C$11,'[1]DATOS 1'!$B$11,IF(B58='[1]DATOS 1'!$C$12,'[1]DATOS 1'!$B$12,IF(B58='[1]DATOS 1'!$C$13,'[1]DATOS 1'!$B$13,IF(B58='[1]DATOS 1'!$C$14,'[1]DATOS 1'!$B$14,IF(B58='[1]DATOS 1'!$C$15,'[1]DATOS 1'!$B$15,IF(B58='[1]DATOS 1'!$C$16,'[1]DATOS 1'!$B$16,IF(B58='[1]DATOS 1'!$C$17,'[1]DATOS 1'!$B$17,IF(B58='[1]DATOS 1'!$C$18,'[1]DATOS 1'!$B$18,IF(B58='[1]DATOS 1'!$C$19,'[1]DATOS 1'!$B$19,IF(B58='[1]DATOS 1'!$C$20,'[1]DATOS 1'!$B$20,IF(B58='[1]DATOS 1'!$C$21,'[1]DATOS 1'!$B$21,IF(B58='[1]DATOS 1'!$C$22,'[1]DATOS 1'!$B$22,IF(B58='[1]DATOS 1'!$C$23,'[1]DATOS 1'!$B$23,IF(B58='[1]DATOS 1'!$C$24,'[1]DATOS 1'!$B$24,IF(B58='[1]DATOS 1'!$C$25,'[1]DATOS 1'!$B$25,IF(B58='[1]DATOS 1'!$C$26,'[1]DATOS 1'!$B$26,IF(B58='[1]DATOS 1'!$C$27,'[1]DATOS 1'!$B$27,IF(B58='[1]DATOS 1'!$C$28,'[1]DATOS 1'!$B$28,IF(B58='[1]DATOS 1'!$C$29,'[1]DATOS 1'!$B$29,IF(B58='[1]DATOS 1'!$C$30,'[1]DATOS 1'!$B$30,IF(B58='[1]DATOS 1'!$C$31,'[1]DATOS 1'!$B$31,IF(B58='[1]DATOS 1'!$C$32,'[1]DATOS 1'!$B$32,IF(B58='[1]DATOS 1'!$C$33,'[1]DATOS 1'!$B$33,IF(B58='[1]DATOS 1'!$C$34,'[1]DATOS 1'!$B$34,IF(B58='[1]DATOS 1'!$C$35,'[1]DATOS 1'!$B$35," ")))))))))))))))))))))))))))))))))</f>
        <v>DCD. INSTITUCIONAL</v>
      </c>
      <c r="D58" s="78" t="s">
        <v>122</v>
      </c>
      <c r="E58" s="2" t="s">
        <v>508</v>
      </c>
      <c r="F58" s="79" t="s">
        <v>551</v>
      </c>
      <c r="G58" s="79">
        <v>75</v>
      </c>
      <c r="H58" s="2"/>
      <c r="I58" s="94">
        <v>530804</v>
      </c>
      <c r="J58" s="71" t="s">
        <v>524</v>
      </c>
      <c r="K58" s="106">
        <v>0.39</v>
      </c>
      <c r="L58" s="106">
        <f t="shared" si="0"/>
        <v>29.25</v>
      </c>
    </row>
    <row r="59" spans="1:12" ht="30" x14ac:dyDescent="0.25">
      <c r="A59" s="49"/>
      <c r="B59" s="51" t="s">
        <v>147</v>
      </c>
      <c r="C59" s="50" t="str">
        <f>IF(B59='[1]DATOS 1'!$C$3,'[1]DATOS 1'!$B$3,IF(B59='[1]DATOS 1'!$C$4,'[1]DATOS 1'!$B$4,IF(B59='[1]DATOS 1'!$C$5,'[1]DATOS 1'!$B$5,IF(B59='[1]DATOS 1'!$C$6,'[1]DATOS 1'!$B$6,IF(B59='[1]DATOS 1'!$C$7,'[1]DATOS 1'!$B$7,IF(B59='[1]DATOS 1'!$C$8,'[1]DATOS 1'!$B$8,IF(B59='[1]DATOS 1'!$C$9,'[1]DATOS 1'!$B$9,IF(B59='[1]DATOS 1'!$C$10,'[1]DATOS 1'!$B$10,IF(B59='[1]DATOS 1'!$C$11,'[1]DATOS 1'!$B$11,IF(B59='[1]DATOS 1'!$C$12,'[1]DATOS 1'!$B$12,IF(B59='[1]DATOS 1'!$C$13,'[1]DATOS 1'!$B$13,IF(B59='[1]DATOS 1'!$C$14,'[1]DATOS 1'!$B$14,IF(B59='[1]DATOS 1'!$C$15,'[1]DATOS 1'!$B$15,IF(B59='[1]DATOS 1'!$C$16,'[1]DATOS 1'!$B$16,IF(B59='[1]DATOS 1'!$C$17,'[1]DATOS 1'!$B$17,IF(B59='[1]DATOS 1'!$C$18,'[1]DATOS 1'!$B$18,IF(B59='[1]DATOS 1'!$C$19,'[1]DATOS 1'!$B$19,IF(B59='[1]DATOS 1'!$C$20,'[1]DATOS 1'!$B$20,IF(B59='[1]DATOS 1'!$C$21,'[1]DATOS 1'!$B$21,IF(B59='[1]DATOS 1'!$C$22,'[1]DATOS 1'!$B$22,IF(B59='[1]DATOS 1'!$C$23,'[1]DATOS 1'!$B$23,IF(B59='[1]DATOS 1'!$C$24,'[1]DATOS 1'!$B$24,IF(B59='[1]DATOS 1'!$C$25,'[1]DATOS 1'!$B$25,IF(B59='[1]DATOS 1'!$C$26,'[1]DATOS 1'!$B$26,IF(B59='[1]DATOS 1'!$C$27,'[1]DATOS 1'!$B$27,IF(B59='[1]DATOS 1'!$C$28,'[1]DATOS 1'!$B$28,IF(B59='[1]DATOS 1'!$C$29,'[1]DATOS 1'!$B$29,IF(B59='[1]DATOS 1'!$C$30,'[1]DATOS 1'!$B$30,IF(B59='[1]DATOS 1'!$C$31,'[1]DATOS 1'!$B$31,IF(B59='[1]DATOS 1'!$C$32,'[1]DATOS 1'!$B$32,IF(B59='[1]DATOS 1'!$C$33,'[1]DATOS 1'!$B$33,IF(B59='[1]DATOS 1'!$C$34,'[1]DATOS 1'!$B$34,IF(B59='[1]DATOS 1'!$C$35,'[1]DATOS 1'!$B$35," ")))))))))))))))))))))))))))))))))</f>
        <v>DCD. INSTITUCIONAL</v>
      </c>
      <c r="D59" s="78" t="s">
        <v>122</v>
      </c>
      <c r="E59" s="2" t="s">
        <v>509</v>
      </c>
      <c r="F59" s="79" t="s">
        <v>551</v>
      </c>
      <c r="G59" s="79">
        <v>48</v>
      </c>
      <c r="H59" s="2"/>
      <c r="I59" s="94">
        <v>530804</v>
      </c>
      <c r="J59" s="71" t="s">
        <v>524</v>
      </c>
      <c r="K59" s="106">
        <v>0.2492</v>
      </c>
      <c r="L59" s="106">
        <f t="shared" si="0"/>
        <v>11.961600000000001</v>
      </c>
    </row>
    <row r="60" spans="1:12" ht="45" x14ac:dyDescent="0.25">
      <c r="A60" s="49"/>
      <c r="B60" s="51" t="s">
        <v>147</v>
      </c>
      <c r="C60" s="50" t="str">
        <f>IF(B60='[1]DATOS 1'!$C$3,'[1]DATOS 1'!$B$3,IF(B60='[1]DATOS 1'!$C$4,'[1]DATOS 1'!$B$4,IF(B60='[1]DATOS 1'!$C$5,'[1]DATOS 1'!$B$5,IF(B60='[1]DATOS 1'!$C$6,'[1]DATOS 1'!$B$6,IF(B60='[1]DATOS 1'!$C$7,'[1]DATOS 1'!$B$7,IF(B60='[1]DATOS 1'!$C$8,'[1]DATOS 1'!$B$8,IF(B60='[1]DATOS 1'!$C$9,'[1]DATOS 1'!$B$9,IF(B60='[1]DATOS 1'!$C$10,'[1]DATOS 1'!$B$10,IF(B60='[1]DATOS 1'!$C$11,'[1]DATOS 1'!$B$11,IF(B60='[1]DATOS 1'!$C$12,'[1]DATOS 1'!$B$12,IF(B60='[1]DATOS 1'!$C$13,'[1]DATOS 1'!$B$13,IF(B60='[1]DATOS 1'!$C$14,'[1]DATOS 1'!$B$14,IF(B60='[1]DATOS 1'!$C$15,'[1]DATOS 1'!$B$15,IF(B60='[1]DATOS 1'!$C$16,'[1]DATOS 1'!$B$16,IF(B60='[1]DATOS 1'!$C$17,'[1]DATOS 1'!$B$17,IF(B60='[1]DATOS 1'!$C$18,'[1]DATOS 1'!$B$18,IF(B60='[1]DATOS 1'!$C$19,'[1]DATOS 1'!$B$19,IF(B60='[1]DATOS 1'!$C$20,'[1]DATOS 1'!$B$20,IF(B60='[1]DATOS 1'!$C$21,'[1]DATOS 1'!$B$21,IF(B60='[1]DATOS 1'!$C$22,'[1]DATOS 1'!$B$22,IF(B60='[1]DATOS 1'!$C$23,'[1]DATOS 1'!$B$23,IF(B60='[1]DATOS 1'!$C$24,'[1]DATOS 1'!$B$24,IF(B60='[1]DATOS 1'!$C$25,'[1]DATOS 1'!$B$25,IF(B60='[1]DATOS 1'!$C$26,'[1]DATOS 1'!$B$26,IF(B60='[1]DATOS 1'!$C$27,'[1]DATOS 1'!$B$27,IF(B60='[1]DATOS 1'!$C$28,'[1]DATOS 1'!$B$28,IF(B60='[1]DATOS 1'!$C$29,'[1]DATOS 1'!$B$29,IF(B60='[1]DATOS 1'!$C$30,'[1]DATOS 1'!$B$30,IF(B60='[1]DATOS 1'!$C$31,'[1]DATOS 1'!$B$31,IF(B60='[1]DATOS 1'!$C$32,'[1]DATOS 1'!$B$32,IF(B60='[1]DATOS 1'!$C$33,'[1]DATOS 1'!$B$33,IF(B60='[1]DATOS 1'!$C$34,'[1]DATOS 1'!$B$34,IF(B60='[1]DATOS 1'!$C$35,'[1]DATOS 1'!$B$35," ")))))))))))))))))))))))))))))))))</f>
        <v>DCD. INSTITUCIONAL</v>
      </c>
      <c r="D60" s="78" t="s">
        <v>122</v>
      </c>
      <c r="E60" s="2" t="s">
        <v>510</v>
      </c>
      <c r="F60" s="79" t="s">
        <v>551</v>
      </c>
      <c r="G60" s="79">
        <v>48</v>
      </c>
      <c r="H60" s="2"/>
      <c r="I60" s="94">
        <v>530804</v>
      </c>
      <c r="J60" s="71" t="s">
        <v>524</v>
      </c>
      <c r="K60" s="106">
        <v>6.07</v>
      </c>
      <c r="L60" s="106">
        <f t="shared" si="0"/>
        <v>291.36</v>
      </c>
    </row>
    <row r="61" spans="1:12" ht="45" x14ac:dyDescent="0.25">
      <c r="A61" s="49"/>
      <c r="B61" s="51" t="s">
        <v>147</v>
      </c>
      <c r="C61" s="50" t="str">
        <f>IF(B61='[1]DATOS 1'!$C$3,'[1]DATOS 1'!$B$3,IF(B61='[1]DATOS 1'!$C$4,'[1]DATOS 1'!$B$4,IF(B61='[1]DATOS 1'!$C$5,'[1]DATOS 1'!$B$5,IF(B61='[1]DATOS 1'!$C$6,'[1]DATOS 1'!$B$6,IF(B61='[1]DATOS 1'!$C$7,'[1]DATOS 1'!$B$7,IF(B61='[1]DATOS 1'!$C$8,'[1]DATOS 1'!$B$8,IF(B61='[1]DATOS 1'!$C$9,'[1]DATOS 1'!$B$9,IF(B61='[1]DATOS 1'!$C$10,'[1]DATOS 1'!$B$10,IF(B61='[1]DATOS 1'!$C$11,'[1]DATOS 1'!$B$11,IF(B61='[1]DATOS 1'!$C$12,'[1]DATOS 1'!$B$12,IF(B61='[1]DATOS 1'!$C$13,'[1]DATOS 1'!$B$13,IF(B61='[1]DATOS 1'!$C$14,'[1]DATOS 1'!$B$14,IF(B61='[1]DATOS 1'!$C$15,'[1]DATOS 1'!$B$15,IF(B61='[1]DATOS 1'!$C$16,'[1]DATOS 1'!$B$16,IF(B61='[1]DATOS 1'!$C$17,'[1]DATOS 1'!$B$17,IF(B61='[1]DATOS 1'!$C$18,'[1]DATOS 1'!$B$18,IF(B61='[1]DATOS 1'!$C$19,'[1]DATOS 1'!$B$19,IF(B61='[1]DATOS 1'!$C$20,'[1]DATOS 1'!$B$20,IF(B61='[1]DATOS 1'!$C$21,'[1]DATOS 1'!$B$21,IF(B61='[1]DATOS 1'!$C$22,'[1]DATOS 1'!$B$22,IF(B61='[1]DATOS 1'!$C$23,'[1]DATOS 1'!$B$23,IF(B61='[1]DATOS 1'!$C$24,'[1]DATOS 1'!$B$24,IF(B61='[1]DATOS 1'!$C$25,'[1]DATOS 1'!$B$25,IF(B61='[1]DATOS 1'!$C$26,'[1]DATOS 1'!$B$26,IF(B61='[1]DATOS 1'!$C$27,'[1]DATOS 1'!$B$27,IF(B61='[1]DATOS 1'!$C$28,'[1]DATOS 1'!$B$28,IF(B61='[1]DATOS 1'!$C$29,'[1]DATOS 1'!$B$29,IF(B61='[1]DATOS 1'!$C$30,'[1]DATOS 1'!$B$30,IF(B61='[1]DATOS 1'!$C$31,'[1]DATOS 1'!$B$31,IF(B61='[1]DATOS 1'!$C$32,'[1]DATOS 1'!$B$32,IF(B61='[1]DATOS 1'!$C$33,'[1]DATOS 1'!$B$33,IF(B61='[1]DATOS 1'!$C$34,'[1]DATOS 1'!$B$34,IF(B61='[1]DATOS 1'!$C$35,'[1]DATOS 1'!$B$35," ")))))))))))))))))))))))))))))))))</f>
        <v>DCD. INSTITUCIONAL</v>
      </c>
      <c r="D61" s="78" t="s">
        <v>122</v>
      </c>
      <c r="E61" s="2" t="s">
        <v>511</v>
      </c>
      <c r="F61" s="79" t="s">
        <v>551</v>
      </c>
      <c r="G61" s="79">
        <v>60</v>
      </c>
      <c r="H61" s="2"/>
      <c r="I61" s="94">
        <v>530804</v>
      </c>
      <c r="J61" s="71" t="s">
        <v>524</v>
      </c>
      <c r="K61" s="106">
        <v>0.2893</v>
      </c>
      <c r="L61" s="106">
        <f t="shared" si="0"/>
        <v>17.358000000000001</v>
      </c>
    </row>
    <row r="62" spans="1:12" ht="30" x14ac:dyDescent="0.25">
      <c r="A62" s="49"/>
      <c r="B62" s="51" t="s">
        <v>147</v>
      </c>
      <c r="C62" s="50" t="str">
        <f>IF(B62='[1]DATOS 1'!$C$3,'[1]DATOS 1'!$B$3,IF(B62='[1]DATOS 1'!$C$4,'[1]DATOS 1'!$B$4,IF(B62='[1]DATOS 1'!$C$5,'[1]DATOS 1'!$B$5,IF(B62='[1]DATOS 1'!$C$6,'[1]DATOS 1'!$B$6,IF(B62='[1]DATOS 1'!$C$7,'[1]DATOS 1'!$B$7,IF(B62='[1]DATOS 1'!$C$8,'[1]DATOS 1'!$B$8,IF(B62='[1]DATOS 1'!$C$9,'[1]DATOS 1'!$B$9,IF(B62='[1]DATOS 1'!$C$10,'[1]DATOS 1'!$B$10,IF(B62='[1]DATOS 1'!$C$11,'[1]DATOS 1'!$B$11,IF(B62='[1]DATOS 1'!$C$12,'[1]DATOS 1'!$B$12,IF(B62='[1]DATOS 1'!$C$13,'[1]DATOS 1'!$B$13,IF(B62='[1]DATOS 1'!$C$14,'[1]DATOS 1'!$B$14,IF(B62='[1]DATOS 1'!$C$15,'[1]DATOS 1'!$B$15,IF(B62='[1]DATOS 1'!$C$16,'[1]DATOS 1'!$B$16,IF(B62='[1]DATOS 1'!$C$17,'[1]DATOS 1'!$B$17,IF(B62='[1]DATOS 1'!$C$18,'[1]DATOS 1'!$B$18,IF(B62='[1]DATOS 1'!$C$19,'[1]DATOS 1'!$B$19,IF(B62='[1]DATOS 1'!$C$20,'[1]DATOS 1'!$B$20,IF(B62='[1]DATOS 1'!$C$21,'[1]DATOS 1'!$B$21,IF(B62='[1]DATOS 1'!$C$22,'[1]DATOS 1'!$B$22,IF(B62='[1]DATOS 1'!$C$23,'[1]DATOS 1'!$B$23,IF(B62='[1]DATOS 1'!$C$24,'[1]DATOS 1'!$B$24,IF(B62='[1]DATOS 1'!$C$25,'[1]DATOS 1'!$B$25,IF(B62='[1]DATOS 1'!$C$26,'[1]DATOS 1'!$B$26,IF(B62='[1]DATOS 1'!$C$27,'[1]DATOS 1'!$B$27,IF(B62='[1]DATOS 1'!$C$28,'[1]DATOS 1'!$B$28,IF(B62='[1]DATOS 1'!$C$29,'[1]DATOS 1'!$B$29,IF(B62='[1]DATOS 1'!$C$30,'[1]DATOS 1'!$B$30,IF(B62='[1]DATOS 1'!$C$31,'[1]DATOS 1'!$B$31,IF(B62='[1]DATOS 1'!$C$32,'[1]DATOS 1'!$B$32,IF(B62='[1]DATOS 1'!$C$33,'[1]DATOS 1'!$B$33,IF(B62='[1]DATOS 1'!$C$34,'[1]DATOS 1'!$B$34,IF(B62='[1]DATOS 1'!$C$35,'[1]DATOS 1'!$B$35," ")))))))))))))))))))))))))))))))))</f>
        <v>DCD. INSTITUCIONAL</v>
      </c>
      <c r="D62" s="78" t="s">
        <v>122</v>
      </c>
      <c r="E62" s="2" t="s">
        <v>554</v>
      </c>
      <c r="F62" s="79" t="s">
        <v>551</v>
      </c>
      <c r="G62" s="79">
        <v>24</v>
      </c>
      <c r="H62" s="2"/>
      <c r="I62" s="94">
        <v>530804</v>
      </c>
      <c r="J62" s="71" t="s">
        <v>524</v>
      </c>
      <c r="K62" s="106">
        <v>10</v>
      </c>
      <c r="L62" s="106">
        <f t="shared" si="0"/>
        <v>240</v>
      </c>
    </row>
    <row r="63" spans="1:12" ht="45" x14ac:dyDescent="0.25">
      <c r="A63" s="49"/>
      <c r="B63" s="51" t="s">
        <v>147</v>
      </c>
      <c r="C63" s="50" t="str">
        <f>IF(B63='[1]DATOS 1'!$C$3,'[1]DATOS 1'!$B$3,IF(B63='[1]DATOS 1'!$C$4,'[1]DATOS 1'!$B$4,IF(B63='[1]DATOS 1'!$C$5,'[1]DATOS 1'!$B$5,IF(B63='[1]DATOS 1'!$C$6,'[1]DATOS 1'!$B$6,IF(B63='[1]DATOS 1'!$C$7,'[1]DATOS 1'!$B$7,IF(B63='[1]DATOS 1'!$C$8,'[1]DATOS 1'!$B$8,IF(B63='[1]DATOS 1'!$C$9,'[1]DATOS 1'!$B$9,IF(B63='[1]DATOS 1'!$C$10,'[1]DATOS 1'!$B$10,IF(B63='[1]DATOS 1'!$C$11,'[1]DATOS 1'!$B$11,IF(B63='[1]DATOS 1'!$C$12,'[1]DATOS 1'!$B$12,IF(B63='[1]DATOS 1'!$C$13,'[1]DATOS 1'!$B$13,IF(B63='[1]DATOS 1'!$C$14,'[1]DATOS 1'!$B$14,IF(B63='[1]DATOS 1'!$C$15,'[1]DATOS 1'!$B$15,IF(B63='[1]DATOS 1'!$C$16,'[1]DATOS 1'!$B$16,IF(B63='[1]DATOS 1'!$C$17,'[1]DATOS 1'!$B$17,IF(B63='[1]DATOS 1'!$C$18,'[1]DATOS 1'!$B$18,IF(B63='[1]DATOS 1'!$C$19,'[1]DATOS 1'!$B$19,IF(B63='[1]DATOS 1'!$C$20,'[1]DATOS 1'!$B$20,IF(B63='[1]DATOS 1'!$C$21,'[1]DATOS 1'!$B$21,IF(B63='[1]DATOS 1'!$C$22,'[1]DATOS 1'!$B$22,IF(B63='[1]DATOS 1'!$C$23,'[1]DATOS 1'!$B$23,IF(B63='[1]DATOS 1'!$C$24,'[1]DATOS 1'!$B$24,IF(B63='[1]DATOS 1'!$C$25,'[1]DATOS 1'!$B$25,IF(B63='[1]DATOS 1'!$C$26,'[1]DATOS 1'!$B$26,IF(B63='[1]DATOS 1'!$C$27,'[1]DATOS 1'!$B$27,IF(B63='[1]DATOS 1'!$C$28,'[1]DATOS 1'!$B$28,IF(B63='[1]DATOS 1'!$C$29,'[1]DATOS 1'!$B$29,IF(B63='[1]DATOS 1'!$C$30,'[1]DATOS 1'!$B$30,IF(B63='[1]DATOS 1'!$C$31,'[1]DATOS 1'!$B$31,IF(B63='[1]DATOS 1'!$C$32,'[1]DATOS 1'!$B$32,IF(B63='[1]DATOS 1'!$C$33,'[1]DATOS 1'!$B$33,IF(B63='[1]DATOS 1'!$C$34,'[1]DATOS 1'!$B$34,IF(B63='[1]DATOS 1'!$C$35,'[1]DATOS 1'!$B$35," ")))))))))))))))))))))))))))))))))</f>
        <v>DCD. INSTITUCIONAL</v>
      </c>
      <c r="D63" s="78" t="s">
        <v>122</v>
      </c>
      <c r="E63" s="2" t="s">
        <v>555</v>
      </c>
      <c r="F63" s="79" t="s">
        <v>551</v>
      </c>
      <c r="G63" s="79">
        <v>24</v>
      </c>
      <c r="H63" s="2"/>
      <c r="I63" s="94"/>
      <c r="J63" s="71"/>
      <c r="K63" s="106">
        <v>14.37</v>
      </c>
      <c r="L63" s="106">
        <f t="shared" si="0"/>
        <v>344.88</v>
      </c>
    </row>
    <row r="64" spans="1:12" ht="30" x14ac:dyDescent="0.25">
      <c r="A64" s="49"/>
      <c r="B64" s="51" t="s">
        <v>147</v>
      </c>
      <c r="C64" s="50" t="str">
        <f>IF(B64='[1]DATOS 1'!$C$3,'[1]DATOS 1'!$B$3,IF(B64='[1]DATOS 1'!$C$4,'[1]DATOS 1'!$B$4,IF(B64='[1]DATOS 1'!$C$5,'[1]DATOS 1'!$B$5,IF(B64='[1]DATOS 1'!$C$6,'[1]DATOS 1'!$B$6,IF(B64='[1]DATOS 1'!$C$7,'[1]DATOS 1'!$B$7,IF(B64='[1]DATOS 1'!$C$8,'[1]DATOS 1'!$B$8,IF(B64='[1]DATOS 1'!$C$9,'[1]DATOS 1'!$B$9,IF(B64='[1]DATOS 1'!$C$10,'[1]DATOS 1'!$B$10,IF(B64='[1]DATOS 1'!$C$11,'[1]DATOS 1'!$B$11,IF(B64='[1]DATOS 1'!$C$12,'[1]DATOS 1'!$B$12,IF(B64='[1]DATOS 1'!$C$13,'[1]DATOS 1'!$B$13,IF(B64='[1]DATOS 1'!$C$14,'[1]DATOS 1'!$B$14,IF(B64='[1]DATOS 1'!$C$15,'[1]DATOS 1'!$B$15,IF(B64='[1]DATOS 1'!$C$16,'[1]DATOS 1'!$B$16,IF(B64='[1]DATOS 1'!$C$17,'[1]DATOS 1'!$B$17,IF(B64='[1]DATOS 1'!$C$18,'[1]DATOS 1'!$B$18,IF(B64='[1]DATOS 1'!$C$19,'[1]DATOS 1'!$B$19,IF(B64='[1]DATOS 1'!$C$20,'[1]DATOS 1'!$B$20,IF(B64='[1]DATOS 1'!$C$21,'[1]DATOS 1'!$B$21,IF(B64='[1]DATOS 1'!$C$22,'[1]DATOS 1'!$B$22,IF(B64='[1]DATOS 1'!$C$23,'[1]DATOS 1'!$B$23,IF(B64='[1]DATOS 1'!$C$24,'[1]DATOS 1'!$B$24,IF(B64='[1]DATOS 1'!$C$25,'[1]DATOS 1'!$B$25,IF(B64='[1]DATOS 1'!$C$26,'[1]DATOS 1'!$B$26,IF(B64='[1]DATOS 1'!$C$27,'[1]DATOS 1'!$B$27,IF(B64='[1]DATOS 1'!$C$28,'[1]DATOS 1'!$B$28,IF(B64='[1]DATOS 1'!$C$29,'[1]DATOS 1'!$B$29,IF(B64='[1]DATOS 1'!$C$30,'[1]DATOS 1'!$B$30,IF(B64='[1]DATOS 1'!$C$31,'[1]DATOS 1'!$B$31,IF(B64='[1]DATOS 1'!$C$32,'[1]DATOS 1'!$B$32,IF(B64='[1]DATOS 1'!$C$33,'[1]DATOS 1'!$B$33,IF(B64='[1]DATOS 1'!$C$34,'[1]DATOS 1'!$B$34,IF(B64='[1]DATOS 1'!$C$35,'[1]DATOS 1'!$B$35," ")))))))))))))))))))))))))))))))))</f>
        <v>DCD. INSTITUCIONAL</v>
      </c>
      <c r="D64" s="78" t="s">
        <v>122</v>
      </c>
      <c r="E64" s="2" t="s">
        <v>512</v>
      </c>
      <c r="F64" s="79" t="s">
        <v>551</v>
      </c>
      <c r="G64" s="79">
        <v>6</v>
      </c>
      <c r="H64" s="2"/>
      <c r="I64" s="94">
        <v>530804</v>
      </c>
      <c r="J64" s="71" t="s">
        <v>524</v>
      </c>
      <c r="K64" s="106">
        <v>32.479999999999997</v>
      </c>
      <c r="L64" s="106">
        <f t="shared" si="0"/>
        <v>194.88</v>
      </c>
    </row>
    <row r="65" spans="1:12" ht="45" x14ac:dyDescent="0.25">
      <c r="A65" s="49"/>
      <c r="B65" s="51" t="s">
        <v>147</v>
      </c>
      <c r="C65" s="50" t="str">
        <f>IF(B65='[1]DATOS 1'!$C$3,'[1]DATOS 1'!$B$3,IF(B65='[1]DATOS 1'!$C$4,'[1]DATOS 1'!$B$4,IF(B65='[1]DATOS 1'!$C$5,'[1]DATOS 1'!$B$5,IF(B65='[1]DATOS 1'!$C$6,'[1]DATOS 1'!$B$6,IF(B65='[1]DATOS 1'!$C$7,'[1]DATOS 1'!$B$7,IF(B65='[1]DATOS 1'!$C$8,'[1]DATOS 1'!$B$8,IF(B65='[1]DATOS 1'!$C$9,'[1]DATOS 1'!$B$9,IF(B65='[1]DATOS 1'!$C$10,'[1]DATOS 1'!$B$10,IF(B65='[1]DATOS 1'!$C$11,'[1]DATOS 1'!$B$11,IF(B65='[1]DATOS 1'!$C$12,'[1]DATOS 1'!$B$12,IF(B65='[1]DATOS 1'!$C$13,'[1]DATOS 1'!$B$13,IF(B65='[1]DATOS 1'!$C$14,'[1]DATOS 1'!$B$14,IF(B65='[1]DATOS 1'!$C$15,'[1]DATOS 1'!$B$15,IF(B65='[1]DATOS 1'!$C$16,'[1]DATOS 1'!$B$16,IF(B65='[1]DATOS 1'!$C$17,'[1]DATOS 1'!$B$17,IF(B65='[1]DATOS 1'!$C$18,'[1]DATOS 1'!$B$18,IF(B65='[1]DATOS 1'!$C$19,'[1]DATOS 1'!$B$19,IF(B65='[1]DATOS 1'!$C$20,'[1]DATOS 1'!$B$20,IF(B65='[1]DATOS 1'!$C$21,'[1]DATOS 1'!$B$21,IF(B65='[1]DATOS 1'!$C$22,'[1]DATOS 1'!$B$22,IF(B65='[1]DATOS 1'!$C$23,'[1]DATOS 1'!$B$23,IF(B65='[1]DATOS 1'!$C$24,'[1]DATOS 1'!$B$24,IF(B65='[1]DATOS 1'!$C$25,'[1]DATOS 1'!$B$25,IF(B65='[1]DATOS 1'!$C$26,'[1]DATOS 1'!$B$26,IF(B65='[1]DATOS 1'!$C$27,'[1]DATOS 1'!$B$27,IF(B65='[1]DATOS 1'!$C$28,'[1]DATOS 1'!$B$28,IF(B65='[1]DATOS 1'!$C$29,'[1]DATOS 1'!$B$29,IF(B65='[1]DATOS 1'!$C$30,'[1]DATOS 1'!$B$30,IF(B65='[1]DATOS 1'!$C$31,'[1]DATOS 1'!$B$31,IF(B65='[1]DATOS 1'!$C$32,'[1]DATOS 1'!$B$32,IF(B65='[1]DATOS 1'!$C$33,'[1]DATOS 1'!$B$33,IF(B65='[1]DATOS 1'!$C$34,'[1]DATOS 1'!$B$34,IF(B65='[1]DATOS 1'!$C$35,'[1]DATOS 1'!$B$35," ")))))))))))))))))))))))))))))))))</f>
        <v>DCD. INSTITUCIONAL</v>
      </c>
      <c r="D65" s="78" t="s">
        <v>122</v>
      </c>
      <c r="E65" s="2" t="s">
        <v>513</v>
      </c>
      <c r="F65" s="79" t="s">
        <v>551</v>
      </c>
      <c r="G65" s="79">
        <v>48</v>
      </c>
      <c r="H65" s="2"/>
      <c r="I65" s="94">
        <v>530804</v>
      </c>
      <c r="J65" s="71" t="s">
        <v>524</v>
      </c>
      <c r="K65" s="106">
        <v>1.456</v>
      </c>
      <c r="L65" s="106">
        <f t="shared" si="0"/>
        <v>69.888000000000005</v>
      </c>
    </row>
    <row r="66" spans="1:12" ht="30" x14ac:dyDescent="0.25">
      <c r="A66" s="49"/>
      <c r="B66" s="51" t="s">
        <v>147</v>
      </c>
      <c r="C66" s="50" t="str">
        <f>IF(B66='[1]DATOS 1'!$C$3,'[1]DATOS 1'!$B$3,IF(B66='[1]DATOS 1'!$C$4,'[1]DATOS 1'!$B$4,IF(B66='[1]DATOS 1'!$C$5,'[1]DATOS 1'!$B$5,IF(B66='[1]DATOS 1'!$C$6,'[1]DATOS 1'!$B$6,IF(B66='[1]DATOS 1'!$C$7,'[1]DATOS 1'!$B$7,IF(B66='[1]DATOS 1'!$C$8,'[1]DATOS 1'!$B$8,IF(B66='[1]DATOS 1'!$C$9,'[1]DATOS 1'!$B$9,IF(B66='[1]DATOS 1'!$C$10,'[1]DATOS 1'!$B$10,IF(B66='[1]DATOS 1'!$C$11,'[1]DATOS 1'!$B$11,IF(B66='[1]DATOS 1'!$C$12,'[1]DATOS 1'!$B$12,IF(B66='[1]DATOS 1'!$C$13,'[1]DATOS 1'!$B$13,IF(B66='[1]DATOS 1'!$C$14,'[1]DATOS 1'!$B$14,IF(B66='[1]DATOS 1'!$C$15,'[1]DATOS 1'!$B$15,IF(B66='[1]DATOS 1'!$C$16,'[1]DATOS 1'!$B$16,IF(B66='[1]DATOS 1'!$C$17,'[1]DATOS 1'!$B$17,IF(B66='[1]DATOS 1'!$C$18,'[1]DATOS 1'!$B$18,IF(B66='[1]DATOS 1'!$C$19,'[1]DATOS 1'!$B$19,IF(B66='[1]DATOS 1'!$C$20,'[1]DATOS 1'!$B$20,IF(B66='[1]DATOS 1'!$C$21,'[1]DATOS 1'!$B$21,IF(B66='[1]DATOS 1'!$C$22,'[1]DATOS 1'!$B$22,IF(B66='[1]DATOS 1'!$C$23,'[1]DATOS 1'!$B$23,IF(B66='[1]DATOS 1'!$C$24,'[1]DATOS 1'!$B$24,IF(B66='[1]DATOS 1'!$C$25,'[1]DATOS 1'!$B$25,IF(B66='[1]DATOS 1'!$C$26,'[1]DATOS 1'!$B$26,IF(B66='[1]DATOS 1'!$C$27,'[1]DATOS 1'!$B$27,IF(B66='[1]DATOS 1'!$C$28,'[1]DATOS 1'!$B$28,IF(B66='[1]DATOS 1'!$C$29,'[1]DATOS 1'!$B$29,IF(B66='[1]DATOS 1'!$C$30,'[1]DATOS 1'!$B$30,IF(B66='[1]DATOS 1'!$C$31,'[1]DATOS 1'!$B$31,IF(B66='[1]DATOS 1'!$C$32,'[1]DATOS 1'!$B$32,IF(B66='[1]DATOS 1'!$C$33,'[1]DATOS 1'!$B$33,IF(B66='[1]DATOS 1'!$C$34,'[1]DATOS 1'!$B$34,IF(B66='[1]DATOS 1'!$C$35,'[1]DATOS 1'!$B$35," ")))))))))))))))))))))))))))))))))</f>
        <v>DCD. INSTITUCIONAL</v>
      </c>
      <c r="D66" s="78" t="s">
        <v>122</v>
      </c>
      <c r="E66" s="2" t="s">
        <v>514</v>
      </c>
      <c r="F66" s="79" t="s">
        <v>551</v>
      </c>
      <c r="G66" s="79">
        <v>24</v>
      </c>
      <c r="H66" s="2"/>
      <c r="I66" s="94">
        <v>530804</v>
      </c>
      <c r="J66" s="71" t="s">
        <v>524</v>
      </c>
      <c r="K66" s="106">
        <v>0.29170000000000001</v>
      </c>
      <c r="L66" s="106">
        <f t="shared" si="0"/>
        <v>7.0007999999999999</v>
      </c>
    </row>
    <row r="67" spans="1:12" ht="30" x14ac:dyDescent="0.25">
      <c r="A67" s="49"/>
      <c r="B67" s="51" t="s">
        <v>147</v>
      </c>
      <c r="C67" s="50" t="str">
        <f>IF(B67='[1]DATOS 1'!$C$3,'[1]DATOS 1'!$B$3,IF(B67='[1]DATOS 1'!$C$4,'[1]DATOS 1'!$B$4,IF(B67='[1]DATOS 1'!$C$5,'[1]DATOS 1'!$B$5,IF(B67='[1]DATOS 1'!$C$6,'[1]DATOS 1'!$B$6,IF(B67='[1]DATOS 1'!$C$7,'[1]DATOS 1'!$B$7,IF(B67='[1]DATOS 1'!$C$8,'[1]DATOS 1'!$B$8,IF(B67='[1]DATOS 1'!$C$9,'[1]DATOS 1'!$B$9,IF(B67='[1]DATOS 1'!$C$10,'[1]DATOS 1'!$B$10,IF(B67='[1]DATOS 1'!$C$11,'[1]DATOS 1'!$B$11,IF(B67='[1]DATOS 1'!$C$12,'[1]DATOS 1'!$B$12,IF(B67='[1]DATOS 1'!$C$13,'[1]DATOS 1'!$B$13,IF(B67='[1]DATOS 1'!$C$14,'[1]DATOS 1'!$B$14,IF(B67='[1]DATOS 1'!$C$15,'[1]DATOS 1'!$B$15,IF(B67='[1]DATOS 1'!$C$16,'[1]DATOS 1'!$B$16,IF(B67='[1]DATOS 1'!$C$17,'[1]DATOS 1'!$B$17,IF(B67='[1]DATOS 1'!$C$18,'[1]DATOS 1'!$B$18,IF(B67='[1]DATOS 1'!$C$19,'[1]DATOS 1'!$B$19,IF(B67='[1]DATOS 1'!$C$20,'[1]DATOS 1'!$B$20,IF(B67='[1]DATOS 1'!$C$21,'[1]DATOS 1'!$B$21,IF(B67='[1]DATOS 1'!$C$22,'[1]DATOS 1'!$B$22,IF(B67='[1]DATOS 1'!$C$23,'[1]DATOS 1'!$B$23,IF(B67='[1]DATOS 1'!$C$24,'[1]DATOS 1'!$B$24,IF(B67='[1]DATOS 1'!$C$25,'[1]DATOS 1'!$B$25,IF(B67='[1]DATOS 1'!$C$26,'[1]DATOS 1'!$B$26,IF(B67='[1]DATOS 1'!$C$27,'[1]DATOS 1'!$B$27,IF(B67='[1]DATOS 1'!$C$28,'[1]DATOS 1'!$B$28,IF(B67='[1]DATOS 1'!$C$29,'[1]DATOS 1'!$B$29,IF(B67='[1]DATOS 1'!$C$30,'[1]DATOS 1'!$B$30,IF(B67='[1]DATOS 1'!$C$31,'[1]DATOS 1'!$B$31,IF(B67='[1]DATOS 1'!$C$32,'[1]DATOS 1'!$B$32,IF(B67='[1]DATOS 1'!$C$33,'[1]DATOS 1'!$B$33,IF(B67='[1]DATOS 1'!$C$34,'[1]DATOS 1'!$B$34,IF(B67='[1]DATOS 1'!$C$35,'[1]DATOS 1'!$B$35," ")))))))))))))))))))))))))))))))))</f>
        <v>DCD. INSTITUCIONAL</v>
      </c>
      <c r="D67" s="78" t="s">
        <v>122</v>
      </c>
      <c r="E67" s="2" t="s">
        <v>515</v>
      </c>
      <c r="F67" s="79" t="s">
        <v>551</v>
      </c>
      <c r="G67" s="79">
        <v>12</v>
      </c>
      <c r="H67" s="2"/>
      <c r="I67" s="94">
        <v>530804</v>
      </c>
      <c r="J67" s="71" t="s">
        <v>524</v>
      </c>
      <c r="K67" s="106">
        <v>0.1075</v>
      </c>
      <c r="L67" s="106">
        <f t="shared" si="0"/>
        <v>1.29</v>
      </c>
    </row>
    <row r="68" spans="1:12" ht="30" x14ac:dyDescent="0.25">
      <c r="A68" s="49"/>
      <c r="B68" s="51" t="s">
        <v>147</v>
      </c>
      <c r="C68" s="50" t="str">
        <f>IF(B68='[1]DATOS 1'!$C$3,'[1]DATOS 1'!$B$3,IF(B68='[1]DATOS 1'!$C$4,'[1]DATOS 1'!$B$4,IF(B68='[1]DATOS 1'!$C$5,'[1]DATOS 1'!$B$5,IF(B68='[1]DATOS 1'!$C$6,'[1]DATOS 1'!$B$6,IF(B68='[1]DATOS 1'!$C$7,'[1]DATOS 1'!$B$7,IF(B68='[1]DATOS 1'!$C$8,'[1]DATOS 1'!$B$8,IF(B68='[1]DATOS 1'!$C$9,'[1]DATOS 1'!$B$9,IF(B68='[1]DATOS 1'!$C$10,'[1]DATOS 1'!$B$10,IF(B68='[1]DATOS 1'!$C$11,'[1]DATOS 1'!$B$11,IF(B68='[1]DATOS 1'!$C$12,'[1]DATOS 1'!$B$12,IF(B68='[1]DATOS 1'!$C$13,'[1]DATOS 1'!$B$13,IF(B68='[1]DATOS 1'!$C$14,'[1]DATOS 1'!$B$14,IF(B68='[1]DATOS 1'!$C$15,'[1]DATOS 1'!$B$15,IF(B68='[1]DATOS 1'!$C$16,'[1]DATOS 1'!$B$16,IF(B68='[1]DATOS 1'!$C$17,'[1]DATOS 1'!$B$17,IF(B68='[1]DATOS 1'!$C$18,'[1]DATOS 1'!$B$18,IF(B68='[1]DATOS 1'!$C$19,'[1]DATOS 1'!$B$19,IF(B68='[1]DATOS 1'!$C$20,'[1]DATOS 1'!$B$20,IF(B68='[1]DATOS 1'!$C$21,'[1]DATOS 1'!$B$21,IF(B68='[1]DATOS 1'!$C$22,'[1]DATOS 1'!$B$22,IF(B68='[1]DATOS 1'!$C$23,'[1]DATOS 1'!$B$23,IF(B68='[1]DATOS 1'!$C$24,'[1]DATOS 1'!$B$24,IF(B68='[1]DATOS 1'!$C$25,'[1]DATOS 1'!$B$25,IF(B68='[1]DATOS 1'!$C$26,'[1]DATOS 1'!$B$26,IF(B68='[1]DATOS 1'!$C$27,'[1]DATOS 1'!$B$27,IF(B68='[1]DATOS 1'!$C$28,'[1]DATOS 1'!$B$28,IF(B68='[1]DATOS 1'!$C$29,'[1]DATOS 1'!$B$29,IF(B68='[1]DATOS 1'!$C$30,'[1]DATOS 1'!$B$30,IF(B68='[1]DATOS 1'!$C$31,'[1]DATOS 1'!$B$31,IF(B68='[1]DATOS 1'!$C$32,'[1]DATOS 1'!$B$32,IF(B68='[1]DATOS 1'!$C$33,'[1]DATOS 1'!$B$33,IF(B68='[1]DATOS 1'!$C$34,'[1]DATOS 1'!$B$34,IF(B68='[1]DATOS 1'!$C$35,'[1]DATOS 1'!$B$35," ")))))))))))))))))))))))))))))))))</f>
        <v>DCD. INSTITUCIONAL</v>
      </c>
      <c r="D68" s="78" t="s">
        <v>122</v>
      </c>
      <c r="E68" s="2" t="s">
        <v>486</v>
      </c>
      <c r="F68" s="79" t="s">
        <v>551</v>
      </c>
      <c r="G68" s="79">
        <v>36</v>
      </c>
      <c r="H68" s="2"/>
      <c r="I68" s="94">
        <v>530804</v>
      </c>
      <c r="J68" s="71" t="s">
        <v>524</v>
      </c>
      <c r="K68" s="106">
        <v>15</v>
      </c>
      <c r="L68" s="106">
        <f t="shared" si="0"/>
        <v>540</v>
      </c>
    </row>
    <row r="69" spans="1:12" ht="45" x14ac:dyDescent="0.25">
      <c r="A69" s="49"/>
      <c r="B69" s="51" t="s">
        <v>147</v>
      </c>
      <c r="C69" s="50" t="str">
        <f>IF(B69='[1]DATOS 1'!$C$3,'[1]DATOS 1'!$B$3,IF(B69='[1]DATOS 1'!$C$4,'[1]DATOS 1'!$B$4,IF(B69='[1]DATOS 1'!$C$5,'[1]DATOS 1'!$B$5,IF(B69='[1]DATOS 1'!$C$6,'[1]DATOS 1'!$B$6,IF(B69='[1]DATOS 1'!$C$7,'[1]DATOS 1'!$B$7,IF(B69='[1]DATOS 1'!$C$8,'[1]DATOS 1'!$B$8,IF(B69='[1]DATOS 1'!$C$9,'[1]DATOS 1'!$B$9,IF(B69='[1]DATOS 1'!$C$10,'[1]DATOS 1'!$B$10,IF(B69='[1]DATOS 1'!$C$11,'[1]DATOS 1'!$B$11,IF(B69='[1]DATOS 1'!$C$12,'[1]DATOS 1'!$B$12,IF(B69='[1]DATOS 1'!$C$13,'[1]DATOS 1'!$B$13,IF(B69='[1]DATOS 1'!$C$14,'[1]DATOS 1'!$B$14,IF(B69='[1]DATOS 1'!$C$15,'[1]DATOS 1'!$B$15,IF(B69='[1]DATOS 1'!$C$16,'[1]DATOS 1'!$B$16,IF(B69='[1]DATOS 1'!$C$17,'[1]DATOS 1'!$B$17,IF(B69='[1]DATOS 1'!$C$18,'[1]DATOS 1'!$B$18,IF(B69='[1]DATOS 1'!$C$19,'[1]DATOS 1'!$B$19,IF(B69='[1]DATOS 1'!$C$20,'[1]DATOS 1'!$B$20,IF(B69='[1]DATOS 1'!$C$21,'[1]DATOS 1'!$B$21,IF(B69='[1]DATOS 1'!$C$22,'[1]DATOS 1'!$B$22,IF(B69='[1]DATOS 1'!$C$23,'[1]DATOS 1'!$B$23,IF(B69='[1]DATOS 1'!$C$24,'[1]DATOS 1'!$B$24,IF(B69='[1]DATOS 1'!$C$25,'[1]DATOS 1'!$B$25,IF(B69='[1]DATOS 1'!$C$26,'[1]DATOS 1'!$B$26,IF(B69='[1]DATOS 1'!$C$27,'[1]DATOS 1'!$B$27,IF(B69='[1]DATOS 1'!$C$28,'[1]DATOS 1'!$B$28,IF(B69='[1]DATOS 1'!$C$29,'[1]DATOS 1'!$B$29,IF(B69='[1]DATOS 1'!$C$30,'[1]DATOS 1'!$B$30,IF(B69='[1]DATOS 1'!$C$31,'[1]DATOS 1'!$B$31,IF(B69='[1]DATOS 1'!$C$32,'[1]DATOS 1'!$B$32,IF(B69='[1]DATOS 1'!$C$33,'[1]DATOS 1'!$B$33,IF(B69='[1]DATOS 1'!$C$34,'[1]DATOS 1'!$B$34,IF(B69='[1]DATOS 1'!$C$35,'[1]DATOS 1'!$B$35," ")))))))))))))))))))))))))))))))))</f>
        <v>DCD. INSTITUCIONAL</v>
      </c>
      <c r="D69" s="78" t="s">
        <v>122</v>
      </c>
      <c r="E69" s="2" t="s">
        <v>516</v>
      </c>
      <c r="F69" s="79" t="s">
        <v>551</v>
      </c>
      <c r="G69" s="79">
        <v>36</v>
      </c>
      <c r="H69" s="2"/>
      <c r="I69" s="94">
        <v>530804</v>
      </c>
      <c r="J69" s="71" t="s">
        <v>524</v>
      </c>
      <c r="K69" s="106">
        <v>0.41920000000000002</v>
      </c>
      <c r="L69" s="106">
        <f t="shared" si="0"/>
        <v>15.091200000000001</v>
      </c>
    </row>
    <row r="70" spans="1:12" ht="30" x14ac:dyDescent="0.25">
      <c r="A70" s="49"/>
      <c r="B70" s="51" t="s">
        <v>147</v>
      </c>
      <c r="C70" s="50" t="str">
        <f>IF(B70='[1]DATOS 1'!$C$3,'[1]DATOS 1'!$B$3,IF(B70='[1]DATOS 1'!$C$4,'[1]DATOS 1'!$B$4,IF(B70='[1]DATOS 1'!$C$5,'[1]DATOS 1'!$B$5,IF(B70='[1]DATOS 1'!$C$6,'[1]DATOS 1'!$B$6,IF(B70='[1]DATOS 1'!$C$7,'[1]DATOS 1'!$B$7,IF(B70='[1]DATOS 1'!$C$8,'[1]DATOS 1'!$B$8,IF(B70='[1]DATOS 1'!$C$9,'[1]DATOS 1'!$B$9,IF(B70='[1]DATOS 1'!$C$10,'[1]DATOS 1'!$B$10,IF(B70='[1]DATOS 1'!$C$11,'[1]DATOS 1'!$B$11,IF(B70='[1]DATOS 1'!$C$12,'[1]DATOS 1'!$B$12,IF(B70='[1]DATOS 1'!$C$13,'[1]DATOS 1'!$B$13,IF(B70='[1]DATOS 1'!$C$14,'[1]DATOS 1'!$B$14,IF(B70='[1]DATOS 1'!$C$15,'[1]DATOS 1'!$B$15,IF(B70='[1]DATOS 1'!$C$16,'[1]DATOS 1'!$B$16,IF(B70='[1]DATOS 1'!$C$17,'[1]DATOS 1'!$B$17,IF(B70='[1]DATOS 1'!$C$18,'[1]DATOS 1'!$B$18,IF(B70='[1]DATOS 1'!$C$19,'[1]DATOS 1'!$B$19,IF(B70='[1]DATOS 1'!$C$20,'[1]DATOS 1'!$B$20,IF(B70='[1]DATOS 1'!$C$21,'[1]DATOS 1'!$B$21,IF(B70='[1]DATOS 1'!$C$22,'[1]DATOS 1'!$B$22,IF(B70='[1]DATOS 1'!$C$23,'[1]DATOS 1'!$B$23,IF(B70='[1]DATOS 1'!$C$24,'[1]DATOS 1'!$B$24,IF(B70='[1]DATOS 1'!$C$25,'[1]DATOS 1'!$B$25,IF(B70='[1]DATOS 1'!$C$26,'[1]DATOS 1'!$B$26,IF(B70='[1]DATOS 1'!$C$27,'[1]DATOS 1'!$B$27,IF(B70='[1]DATOS 1'!$C$28,'[1]DATOS 1'!$B$28,IF(B70='[1]DATOS 1'!$C$29,'[1]DATOS 1'!$B$29,IF(B70='[1]DATOS 1'!$C$30,'[1]DATOS 1'!$B$30,IF(B70='[1]DATOS 1'!$C$31,'[1]DATOS 1'!$B$31,IF(B70='[1]DATOS 1'!$C$32,'[1]DATOS 1'!$B$32,IF(B70='[1]DATOS 1'!$C$33,'[1]DATOS 1'!$B$33,IF(B70='[1]DATOS 1'!$C$34,'[1]DATOS 1'!$B$34,IF(B70='[1]DATOS 1'!$C$35,'[1]DATOS 1'!$B$35," ")))))))))))))))))))))))))))))))))</f>
        <v>DCD. INSTITUCIONAL</v>
      </c>
      <c r="D70" s="78" t="s">
        <v>122</v>
      </c>
      <c r="E70" s="2" t="s">
        <v>556</v>
      </c>
      <c r="F70" s="79" t="s">
        <v>551</v>
      </c>
      <c r="G70" s="79">
        <v>36</v>
      </c>
      <c r="H70" s="2"/>
      <c r="I70" s="94">
        <v>530804</v>
      </c>
      <c r="J70" s="71" t="s">
        <v>524</v>
      </c>
      <c r="K70" s="106">
        <v>3.3500000000000002E-2</v>
      </c>
      <c r="L70" s="106">
        <f t="shared" si="0"/>
        <v>1.206</v>
      </c>
    </row>
    <row r="71" spans="1:12" ht="30" x14ac:dyDescent="0.25">
      <c r="A71" s="49"/>
      <c r="B71" s="51" t="s">
        <v>147</v>
      </c>
      <c r="C71" s="50" t="str">
        <f>IF(B71='[1]DATOS 1'!$C$3,'[1]DATOS 1'!$B$3,IF(B71='[1]DATOS 1'!$C$4,'[1]DATOS 1'!$B$4,IF(B71='[1]DATOS 1'!$C$5,'[1]DATOS 1'!$B$5,IF(B71='[1]DATOS 1'!$C$6,'[1]DATOS 1'!$B$6,IF(B71='[1]DATOS 1'!$C$7,'[1]DATOS 1'!$B$7,IF(B71='[1]DATOS 1'!$C$8,'[1]DATOS 1'!$B$8,IF(B71='[1]DATOS 1'!$C$9,'[1]DATOS 1'!$B$9,IF(B71='[1]DATOS 1'!$C$10,'[1]DATOS 1'!$B$10,IF(B71='[1]DATOS 1'!$C$11,'[1]DATOS 1'!$B$11,IF(B71='[1]DATOS 1'!$C$12,'[1]DATOS 1'!$B$12,IF(B71='[1]DATOS 1'!$C$13,'[1]DATOS 1'!$B$13,IF(B71='[1]DATOS 1'!$C$14,'[1]DATOS 1'!$B$14,IF(B71='[1]DATOS 1'!$C$15,'[1]DATOS 1'!$B$15,IF(B71='[1]DATOS 1'!$C$16,'[1]DATOS 1'!$B$16,IF(B71='[1]DATOS 1'!$C$17,'[1]DATOS 1'!$B$17,IF(B71='[1]DATOS 1'!$C$18,'[1]DATOS 1'!$B$18,IF(B71='[1]DATOS 1'!$C$19,'[1]DATOS 1'!$B$19,IF(B71='[1]DATOS 1'!$C$20,'[1]DATOS 1'!$B$20,IF(B71='[1]DATOS 1'!$C$21,'[1]DATOS 1'!$B$21,IF(B71='[1]DATOS 1'!$C$22,'[1]DATOS 1'!$B$22,IF(B71='[1]DATOS 1'!$C$23,'[1]DATOS 1'!$B$23,IF(B71='[1]DATOS 1'!$C$24,'[1]DATOS 1'!$B$24,IF(B71='[1]DATOS 1'!$C$25,'[1]DATOS 1'!$B$25,IF(B71='[1]DATOS 1'!$C$26,'[1]DATOS 1'!$B$26,IF(B71='[1]DATOS 1'!$C$27,'[1]DATOS 1'!$B$27,IF(B71='[1]DATOS 1'!$C$28,'[1]DATOS 1'!$B$28,IF(B71='[1]DATOS 1'!$C$29,'[1]DATOS 1'!$B$29,IF(B71='[1]DATOS 1'!$C$30,'[1]DATOS 1'!$B$30,IF(B71='[1]DATOS 1'!$C$31,'[1]DATOS 1'!$B$31,IF(B71='[1]DATOS 1'!$C$32,'[1]DATOS 1'!$B$32,IF(B71='[1]DATOS 1'!$C$33,'[1]DATOS 1'!$B$33,IF(B71='[1]DATOS 1'!$C$34,'[1]DATOS 1'!$B$34,IF(B71='[1]DATOS 1'!$C$35,'[1]DATOS 1'!$B$35," ")))))))))))))))))))))))))))))))))</f>
        <v>DCD. INSTITUCIONAL</v>
      </c>
      <c r="D71" s="78" t="s">
        <v>122</v>
      </c>
      <c r="E71" s="2" t="s">
        <v>517</v>
      </c>
      <c r="F71" s="79" t="s">
        <v>551</v>
      </c>
      <c r="G71" s="79">
        <v>200</v>
      </c>
      <c r="H71" s="2"/>
      <c r="I71" s="94">
        <v>530804</v>
      </c>
      <c r="J71" s="71" t="s">
        <v>524</v>
      </c>
      <c r="K71" s="106">
        <v>3.7600000000000001E-2</v>
      </c>
      <c r="L71" s="106">
        <f t="shared" si="0"/>
        <v>7.5200000000000005</v>
      </c>
    </row>
    <row r="72" spans="1:12" ht="30" x14ac:dyDescent="0.25">
      <c r="A72" s="49"/>
      <c r="B72" s="51" t="s">
        <v>147</v>
      </c>
      <c r="C72" s="50" t="str">
        <f>IF(B72='[1]DATOS 1'!$C$3,'[1]DATOS 1'!$B$3,IF(B72='[1]DATOS 1'!$C$4,'[1]DATOS 1'!$B$4,IF(B72='[1]DATOS 1'!$C$5,'[1]DATOS 1'!$B$5,IF(B72='[1]DATOS 1'!$C$6,'[1]DATOS 1'!$B$6,IF(B72='[1]DATOS 1'!$C$7,'[1]DATOS 1'!$B$7,IF(B72='[1]DATOS 1'!$C$8,'[1]DATOS 1'!$B$8,IF(B72='[1]DATOS 1'!$C$9,'[1]DATOS 1'!$B$9,IF(B72='[1]DATOS 1'!$C$10,'[1]DATOS 1'!$B$10,IF(B72='[1]DATOS 1'!$C$11,'[1]DATOS 1'!$B$11,IF(B72='[1]DATOS 1'!$C$12,'[1]DATOS 1'!$B$12,IF(B72='[1]DATOS 1'!$C$13,'[1]DATOS 1'!$B$13,IF(B72='[1]DATOS 1'!$C$14,'[1]DATOS 1'!$B$14,IF(B72='[1]DATOS 1'!$C$15,'[1]DATOS 1'!$B$15,IF(B72='[1]DATOS 1'!$C$16,'[1]DATOS 1'!$B$16,IF(B72='[1]DATOS 1'!$C$17,'[1]DATOS 1'!$B$17,IF(B72='[1]DATOS 1'!$C$18,'[1]DATOS 1'!$B$18,IF(B72='[1]DATOS 1'!$C$19,'[1]DATOS 1'!$B$19,IF(B72='[1]DATOS 1'!$C$20,'[1]DATOS 1'!$B$20,IF(B72='[1]DATOS 1'!$C$21,'[1]DATOS 1'!$B$21,IF(B72='[1]DATOS 1'!$C$22,'[1]DATOS 1'!$B$22,IF(B72='[1]DATOS 1'!$C$23,'[1]DATOS 1'!$B$23,IF(B72='[1]DATOS 1'!$C$24,'[1]DATOS 1'!$B$24,IF(B72='[1]DATOS 1'!$C$25,'[1]DATOS 1'!$B$25,IF(B72='[1]DATOS 1'!$C$26,'[1]DATOS 1'!$B$26,IF(B72='[1]DATOS 1'!$C$27,'[1]DATOS 1'!$B$27,IF(B72='[1]DATOS 1'!$C$28,'[1]DATOS 1'!$B$28,IF(B72='[1]DATOS 1'!$C$29,'[1]DATOS 1'!$B$29,IF(B72='[1]DATOS 1'!$C$30,'[1]DATOS 1'!$B$30,IF(B72='[1]DATOS 1'!$C$31,'[1]DATOS 1'!$B$31,IF(B72='[1]DATOS 1'!$C$32,'[1]DATOS 1'!$B$32,IF(B72='[1]DATOS 1'!$C$33,'[1]DATOS 1'!$B$33,IF(B72='[1]DATOS 1'!$C$34,'[1]DATOS 1'!$B$34,IF(B72='[1]DATOS 1'!$C$35,'[1]DATOS 1'!$B$35," ")))))))))))))))))))))))))))))))))</f>
        <v>DCD. INSTITUCIONAL</v>
      </c>
      <c r="D72" s="78" t="s">
        <v>122</v>
      </c>
      <c r="E72" s="2" t="s">
        <v>518</v>
      </c>
      <c r="F72" s="79" t="s">
        <v>551</v>
      </c>
      <c r="G72" s="79">
        <v>400</v>
      </c>
      <c r="H72" s="2"/>
      <c r="I72" s="94">
        <v>530804</v>
      </c>
      <c r="J72" s="71" t="s">
        <v>524</v>
      </c>
      <c r="K72" s="106">
        <v>6.2199999999999998E-2</v>
      </c>
      <c r="L72" s="106">
        <f t="shared" si="0"/>
        <v>24.88</v>
      </c>
    </row>
    <row r="73" spans="1:12" ht="30" x14ac:dyDescent="0.25">
      <c r="A73" s="49"/>
      <c r="B73" s="51" t="s">
        <v>147</v>
      </c>
      <c r="C73" s="50" t="str">
        <f>IF(B73='[1]DATOS 1'!$C$3,'[1]DATOS 1'!$B$3,IF(B73='[1]DATOS 1'!$C$4,'[1]DATOS 1'!$B$4,IF(B73='[1]DATOS 1'!$C$5,'[1]DATOS 1'!$B$5,IF(B73='[1]DATOS 1'!$C$6,'[1]DATOS 1'!$B$6,IF(B73='[1]DATOS 1'!$C$7,'[1]DATOS 1'!$B$7,IF(B73='[1]DATOS 1'!$C$8,'[1]DATOS 1'!$B$8,IF(B73='[1]DATOS 1'!$C$9,'[1]DATOS 1'!$B$9,IF(B73='[1]DATOS 1'!$C$10,'[1]DATOS 1'!$B$10,IF(B73='[1]DATOS 1'!$C$11,'[1]DATOS 1'!$B$11,IF(B73='[1]DATOS 1'!$C$12,'[1]DATOS 1'!$B$12,IF(B73='[1]DATOS 1'!$C$13,'[1]DATOS 1'!$B$13,IF(B73='[1]DATOS 1'!$C$14,'[1]DATOS 1'!$B$14,IF(B73='[1]DATOS 1'!$C$15,'[1]DATOS 1'!$B$15,IF(B73='[1]DATOS 1'!$C$16,'[1]DATOS 1'!$B$16,IF(B73='[1]DATOS 1'!$C$17,'[1]DATOS 1'!$B$17,IF(B73='[1]DATOS 1'!$C$18,'[1]DATOS 1'!$B$18,IF(B73='[1]DATOS 1'!$C$19,'[1]DATOS 1'!$B$19,IF(B73='[1]DATOS 1'!$C$20,'[1]DATOS 1'!$B$20,IF(B73='[1]DATOS 1'!$C$21,'[1]DATOS 1'!$B$21,IF(B73='[1]DATOS 1'!$C$22,'[1]DATOS 1'!$B$22,IF(B73='[1]DATOS 1'!$C$23,'[1]DATOS 1'!$B$23,IF(B73='[1]DATOS 1'!$C$24,'[1]DATOS 1'!$B$24,IF(B73='[1]DATOS 1'!$C$25,'[1]DATOS 1'!$B$25,IF(B73='[1]DATOS 1'!$C$26,'[1]DATOS 1'!$B$26,IF(B73='[1]DATOS 1'!$C$27,'[1]DATOS 1'!$B$27,IF(B73='[1]DATOS 1'!$C$28,'[1]DATOS 1'!$B$28,IF(B73='[1]DATOS 1'!$C$29,'[1]DATOS 1'!$B$29,IF(B73='[1]DATOS 1'!$C$30,'[1]DATOS 1'!$B$30,IF(B73='[1]DATOS 1'!$C$31,'[1]DATOS 1'!$B$31,IF(B73='[1]DATOS 1'!$C$32,'[1]DATOS 1'!$B$32,IF(B73='[1]DATOS 1'!$C$33,'[1]DATOS 1'!$B$33,IF(B73='[1]DATOS 1'!$C$34,'[1]DATOS 1'!$B$34,IF(B73='[1]DATOS 1'!$C$35,'[1]DATOS 1'!$B$35," ")))))))))))))))))))))))))))))))))</f>
        <v>DCD. INSTITUCIONAL</v>
      </c>
      <c r="D73" s="78" t="s">
        <v>122</v>
      </c>
      <c r="E73" s="2" t="s">
        <v>519</v>
      </c>
      <c r="F73" s="79" t="s">
        <v>551</v>
      </c>
      <c r="G73" s="79">
        <v>200</v>
      </c>
      <c r="H73" s="2"/>
      <c r="I73" s="94">
        <v>530804</v>
      </c>
      <c r="J73" s="71" t="s">
        <v>524</v>
      </c>
      <c r="K73" s="106">
        <v>7.6300000000000007E-2</v>
      </c>
      <c r="L73" s="106">
        <f t="shared" si="0"/>
        <v>15.260000000000002</v>
      </c>
    </row>
    <row r="74" spans="1:12" ht="45" x14ac:dyDescent="0.25">
      <c r="A74" s="49"/>
      <c r="B74" s="51" t="s">
        <v>147</v>
      </c>
      <c r="C74" s="50" t="str">
        <f>IF(B74='[1]DATOS 1'!$C$3,'[1]DATOS 1'!$B$3,IF(B74='[1]DATOS 1'!$C$4,'[1]DATOS 1'!$B$4,IF(B74='[1]DATOS 1'!$C$5,'[1]DATOS 1'!$B$5,IF(B74='[1]DATOS 1'!$C$6,'[1]DATOS 1'!$B$6,IF(B74='[1]DATOS 1'!$C$7,'[1]DATOS 1'!$B$7,IF(B74='[1]DATOS 1'!$C$8,'[1]DATOS 1'!$B$8,IF(B74='[1]DATOS 1'!$C$9,'[1]DATOS 1'!$B$9,IF(B74='[1]DATOS 1'!$C$10,'[1]DATOS 1'!$B$10,IF(B74='[1]DATOS 1'!$C$11,'[1]DATOS 1'!$B$11,IF(B74='[1]DATOS 1'!$C$12,'[1]DATOS 1'!$B$12,IF(B74='[1]DATOS 1'!$C$13,'[1]DATOS 1'!$B$13,IF(B74='[1]DATOS 1'!$C$14,'[1]DATOS 1'!$B$14,IF(B74='[1]DATOS 1'!$C$15,'[1]DATOS 1'!$B$15,IF(B74='[1]DATOS 1'!$C$16,'[1]DATOS 1'!$B$16,IF(B74='[1]DATOS 1'!$C$17,'[1]DATOS 1'!$B$17,IF(B74='[1]DATOS 1'!$C$18,'[1]DATOS 1'!$B$18,IF(B74='[1]DATOS 1'!$C$19,'[1]DATOS 1'!$B$19,IF(B74='[1]DATOS 1'!$C$20,'[1]DATOS 1'!$B$20,IF(B74='[1]DATOS 1'!$C$21,'[1]DATOS 1'!$B$21,IF(B74='[1]DATOS 1'!$C$22,'[1]DATOS 1'!$B$22,IF(B74='[1]DATOS 1'!$C$23,'[1]DATOS 1'!$B$23,IF(B74='[1]DATOS 1'!$C$24,'[1]DATOS 1'!$B$24,IF(B74='[1]DATOS 1'!$C$25,'[1]DATOS 1'!$B$25,IF(B74='[1]DATOS 1'!$C$26,'[1]DATOS 1'!$B$26,IF(B74='[1]DATOS 1'!$C$27,'[1]DATOS 1'!$B$27,IF(B74='[1]DATOS 1'!$C$28,'[1]DATOS 1'!$B$28,IF(B74='[1]DATOS 1'!$C$29,'[1]DATOS 1'!$B$29,IF(B74='[1]DATOS 1'!$C$30,'[1]DATOS 1'!$B$30,IF(B74='[1]DATOS 1'!$C$31,'[1]DATOS 1'!$B$31,IF(B74='[1]DATOS 1'!$C$32,'[1]DATOS 1'!$B$32,IF(B74='[1]DATOS 1'!$C$33,'[1]DATOS 1'!$B$33,IF(B74='[1]DATOS 1'!$C$34,'[1]DATOS 1'!$B$34,IF(B74='[1]DATOS 1'!$C$35,'[1]DATOS 1'!$B$35," ")))))))))))))))))))))))))))))))))</f>
        <v>DCD. INSTITUCIONAL</v>
      </c>
      <c r="D74" s="78" t="s">
        <v>122</v>
      </c>
      <c r="E74" s="2" t="s">
        <v>520</v>
      </c>
      <c r="F74" s="79" t="s">
        <v>551</v>
      </c>
      <c r="G74" s="79">
        <v>6</v>
      </c>
      <c r="H74" s="2"/>
      <c r="I74" s="94">
        <v>530804</v>
      </c>
      <c r="J74" s="71" t="s">
        <v>524</v>
      </c>
      <c r="K74" s="106">
        <v>28</v>
      </c>
      <c r="L74" s="106">
        <f t="shared" si="0"/>
        <v>168</v>
      </c>
    </row>
    <row r="75" spans="1:12" ht="33.75" customHeight="1" x14ac:dyDescent="0.25">
      <c r="A75" s="49"/>
      <c r="B75" s="51" t="s">
        <v>147</v>
      </c>
      <c r="C75" s="50" t="str">
        <f>IF(B75='[1]DATOS 1'!$C$3,'[1]DATOS 1'!$B$3,IF(B75='[1]DATOS 1'!$C$4,'[1]DATOS 1'!$B$4,IF(B75='[1]DATOS 1'!$C$5,'[1]DATOS 1'!$B$5,IF(B75='[1]DATOS 1'!$C$6,'[1]DATOS 1'!$B$6,IF(B75='[1]DATOS 1'!$C$7,'[1]DATOS 1'!$B$7,IF(B75='[1]DATOS 1'!$C$8,'[1]DATOS 1'!$B$8,IF(B75='[1]DATOS 1'!$C$9,'[1]DATOS 1'!$B$9,IF(B75='[1]DATOS 1'!$C$10,'[1]DATOS 1'!$B$10,IF(B75='[1]DATOS 1'!$C$11,'[1]DATOS 1'!$B$11,IF(B75='[1]DATOS 1'!$C$12,'[1]DATOS 1'!$B$12,IF(B75='[1]DATOS 1'!$C$13,'[1]DATOS 1'!$B$13,IF(B75='[1]DATOS 1'!$C$14,'[1]DATOS 1'!$B$14,IF(B75='[1]DATOS 1'!$C$15,'[1]DATOS 1'!$B$15,IF(B75='[1]DATOS 1'!$C$16,'[1]DATOS 1'!$B$16,IF(B75='[1]DATOS 1'!$C$17,'[1]DATOS 1'!$B$17,IF(B75='[1]DATOS 1'!$C$18,'[1]DATOS 1'!$B$18,IF(B75='[1]DATOS 1'!$C$19,'[1]DATOS 1'!$B$19,IF(B75='[1]DATOS 1'!$C$20,'[1]DATOS 1'!$B$20,IF(B75='[1]DATOS 1'!$C$21,'[1]DATOS 1'!$B$21,IF(B75='[1]DATOS 1'!$C$22,'[1]DATOS 1'!$B$22,IF(B75='[1]DATOS 1'!$C$23,'[1]DATOS 1'!$B$23,IF(B75='[1]DATOS 1'!$C$24,'[1]DATOS 1'!$B$24,IF(B75='[1]DATOS 1'!$C$25,'[1]DATOS 1'!$B$25,IF(B75='[1]DATOS 1'!$C$26,'[1]DATOS 1'!$B$26,IF(B75='[1]DATOS 1'!$C$27,'[1]DATOS 1'!$B$27,IF(B75='[1]DATOS 1'!$C$28,'[1]DATOS 1'!$B$28,IF(B75='[1]DATOS 1'!$C$29,'[1]DATOS 1'!$B$29,IF(B75='[1]DATOS 1'!$C$30,'[1]DATOS 1'!$B$30,IF(B75='[1]DATOS 1'!$C$31,'[1]DATOS 1'!$B$31,IF(B75='[1]DATOS 1'!$C$32,'[1]DATOS 1'!$B$32,IF(B75='[1]DATOS 1'!$C$33,'[1]DATOS 1'!$B$33,IF(B75='[1]DATOS 1'!$C$34,'[1]DATOS 1'!$B$34,IF(B75='[1]DATOS 1'!$C$35,'[1]DATOS 1'!$B$35," ")))))))))))))))))))))))))))))))))</f>
        <v>DCD. INSTITUCIONAL</v>
      </c>
      <c r="D75" s="78" t="s">
        <v>122</v>
      </c>
      <c r="E75" s="2" t="s">
        <v>521</v>
      </c>
      <c r="F75" s="79" t="s">
        <v>551</v>
      </c>
      <c r="G75" s="79">
        <v>120</v>
      </c>
      <c r="H75" s="2"/>
      <c r="I75" s="94">
        <v>530804</v>
      </c>
      <c r="J75" s="71" t="s">
        <v>524</v>
      </c>
      <c r="K75" s="106">
        <v>99.567999999999998</v>
      </c>
      <c r="L75" s="106">
        <f t="shared" si="0"/>
        <v>11948.16</v>
      </c>
    </row>
    <row r="76" spans="1:12" ht="60" x14ac:dyDescent="0.25">
      <c r="A76" s="49"/>
      <c r="B76" s="51" t="s">
        <v>147</v>
      </c>
      <c r="C76" s="50" t="str">
        <f>IF(B76='[1]DATOS 1'!$C$3,'[1]DATOS 1'!$B$3,IF(B76='[1]DATOS 1'!$C$4,'[1]DATOS 1'!$B$4,IF(B76='[1]DATOS 1'!$C$5,'[1]DATOS 1'!$B$5,IF(B76='[1]DATOS 1'!$C$6,'[1]DATOS 1'!$B$6,IF(B76='[1]DATOS 1'!$C$7,'[1]DATOS 1'!$B$7,IF(B76='[1]DATOS 1'!$C$8,'[1]DATOS 1'!$B$8,IF(B76='[1]DATOS 1'!$C$9,'[1]DATOS 1'!$B$9,IF(B76='[1]DATOS 1'!$C$10,'[1]DATOS 1'!$B$10,IF(B76='[1]DATOS 1'!$C$11,'[1]DATOS 1'!$B$11,IF(B76='[1]DATOS 1'!$C$12,'[1]DATOS 1'!$B$12,IF(B76='[1]DATOS 1'!$C$13,'[1]DATOS 1'!$B$13,IF(B76='[1]DATOS 1'!$C$14,'[1]DATOS 1'!$B$14,IF(B76='[1]DATOS 1'!$C$15,'[1]DATOS 1'!$B$15,IF(B76='[1]DATOS 1'!$C$16,'[1]DATOS 1'!$B$16,IF(B76='[1]DATOS 1'!$C$17,'[1]DATOS 1'!$B$17,IF(B76='[1]DATOS 1'!$C$18,'[1]DATOS 1'!$B$18,IF(B76='[1]DATOS 1'!$C$19,'[1]DATOS 1'!$B$19,IF(B76='[1]DATOS 1'!$C$20,'[1]DATOS 1'!$B$20,IF(B76='[1]DATOS 1'!$C$21,'[1]DATOS 1'!$B$21,IF(B76='[1]DATOS 1'!$C$22,'[1]DATOS 1'!$B$22,IF(B76='[1]DATOS 1'!$C$23,'[1]DATOS 1'!$B$23,IF(B76='[1]DATOS 1'!$C$24,'[1]DATOS 1'!$B$24,IF(B76='[1]DATOS 1'!$C$25,'[1]DATOS 1'!$B$25,IF(B76='[1]DATOS 1'!$C$26,'[1]DATOS 1'!$B$26,IF(B76='[1]DATOS 1'!$C$27,'[1]DATOS 1'!$B$27,IF(B76='[1]DATOS 1'!$C$28,'[1]DATOS 1'!$B$28,IF(B76='[1]DATOS 1'!$C$29,'[1]DATOS 1'!$B$29,IF(B76='[1]DATOS 1'!$C$30,'[1]DATOS 1'!$B$30,IF(B76='[1]DATOS 1'!$C$31,'[1]DATOS 1'!$B$31,IF(B76='[1]DATOS 1'!$C$32,'[1]DATOS 1'!$B$32,IF(B76='[1]DATOS 1'!$C$33,'[1]DATOS 1'!$B$33,IF(B76='[1]DATOS 1'!$C$34,'[1]DATOS 1'!$B$34,IF(B76='[1]DATOS 1'!$C$35,'[1]DATOS 1'!$B$35," ")))))))))))))))))))))))))))))))))</f>
        <v>DCD. INSTITUCIONAL</v>
      </c>
      <c r="D76" s="78" t="s">
        <v>122</v>
      </c>
      <c r="E76" s="2" t="s">
        <v>522</v>
      </c>
      <c r="F76" s="79" t="s">
        <v>551</v>
      </c>
      <c r="G76" s="79">
        <v>2500</v>
      </c>
      <c r="H76" s="2"/>
      <c r="I76" s="94">
        <v>530804</v>
      </c>
      <c r="J76" s="71" t="s">
        <v>524</v>
      </c>
      <c r="K76" s="106">
        <v>0.2</v>
      </c>
      <c r="L76" s="106">
        <f t="shared" si="0"/>
        <v>500</v>
      </c>
    </row>
    <row r="77" spans="1:12" ht="30" x14ac:dyDescent="0.25">
      <c r="A77" s="49"/>
      <c r="B77" s="51" t="s">
        <v>147</v>
      </c>
      <c r="C77" s="50" t="str">
        <f>IF(B77='[1]DATOS 1'!$C$3,'[1]DATOS 1'!$B$3,IF(B77='[1]DATOS 1'!$C$4,'[1]DATOS 1'!$B$4,IF(B77='[1]DATOS 1'!$C$5,'[1]DATOS 1'!$B$5,IF(B77='[1]DATOS 1'!$C$6,'[1]DATOS 1'!$B$6,IF(B77='[1]DATOS 1'!$C$7,'[1]DATOS 1'!$B$7,IF(B77='[1]DATOS 1'!$C$8,'[1]DATOS 1'!$B$8,IF(B77='[1]DATOS 1'!$C$9,'[1]DATOS 1'!$B$9,IF(B77='[1]DATOS 1'!$C$10,'[1]DATOS 1'!$B$10,IF(B77='[1]DATOS 1'!$C$11,'[1]DATOS 1'!$B$11,IF(B77='[1]DATOS 1'!$C$12,'[1]DATOS 1'!$B$12,IF(B77='[1]DATOS 1'!$C$13,'[1]DATOS 1'!$B$13,IF(B77='[1]DATOS 1'!$C$14,'[1]DATOS 1'!$B$14,IF(B77='[1]DATOS 1'!$C$15,'[1]DATOS 1'!$B$15,IF(B77='[1]DATOS 1'!$C$16,'[1]DATOS 1'!$B$16,IF(B77='[1]DATOS 1'!$C$17,'[1]DATOS 1'!$B$17,IF(B77='[1]DATOS 1'!$C$18,'[1]DATOS 1'!$B$18,IF(B77='[1]DATOS 1'!$C$19,'[1]DATOS 1'!$B$19,IF(B77='[1]DATOS 1'!$C$20,'[1]DATOS 1'!$B$20,IF(B77='[1]DATOS 1'!$C$21,'[1]DATOS 1'!$B$21,IF(B77='[1]DATOS 1'!$C$22,'[1]DATOS 1'!$B$22,IF(B77='[1]DATOS 1'!$C$23,'[1]DATOS 1'!$B$23,IF(B77='[1]DATOS 1'!$C$24,'[1]DATOS 1'!$B$24,IF(B77='[1]DATOS 1'!$C$25,'[1]DATOS 1'!$B$25,IF(B77='[1]DATOS 1'!$C$26,'[1]DATOS 1'!$B$26,IF(B77='[1]DATOS 1'!$C$27,'[1]DATOS 1'!$B$27,IF(B77='[1]DATOS 1'!$C$28,'[1]DATOS 1'!$B$28,IF(B77='[1]DATOS 1'!$C$29,'[1]DATOS 1'!$B$29,IF(B77='[1]DATOS 1'!$C$30,'[1]DATOS 1'!$B$30,IF(B77='[1]DATOS 1'!$C$31,'[1]DATOS 1'!$B$31,IF(B77='[1]DATOS 1'!$C$32,'[1]DATOS 1'!$B$32,IF(B77='[1]DATOS 1'!$C$33,'[1]DATOS 1'!$B$33,IF(B77='[1]DATOS 1'!$C$34,'[1]DATOS 1'!$B$34,IF(B77='[1]DATOS 1'!$C$35,'[1]DATOS 1'!$B$35," ")))))))))))))))))))))))))))))))))</f>
        <v>DCD. INSTITUCIONAL</v>
      </c>
      <c r="D77" s="78" t="s">
        <v>122</v>
      </c>
      <c r="E77" s="2" t="s">
        <v>523</v>
      </c>
      <c r="F77" s="79" t="s">
        <v>551</v>
      </c>
      <c r="G77" s="79">
        <v>36000</v>
      </c>
      <c r="H77" s="2"/>
      <c r="I77" s="94">
        <v>530804</v>
      </c>
      <c r="J77" s="71" t="s">
        <v>524</v>
      </c>
      <c r="K77" s="106">
        <v>1.125</v>
      </c>
      <c r="L77" s="106">
        <f t="shared" si="0"/>
        <v>40500</v>
      </c>
    </row>
    <row r="78" spans="1:12" ht="90" x14ac:dyDescent="0.25">
      <c r="A78" s="49"/>
      <c r="B78" s="51" t="s">
        <v>147</v>
      </c>
      <c r="C78" s="50" t="str">
        <f>IF(B78='[1]DATOS 1'!$C$3,'[1]DATOS 1'!$B$3,IF(B78='[1]DATOS 1'!$C$4,'[1]DATOS 1'!$B$4,IF(B78='[1]DATOS 1'!$C$5,'[1]DATOS 1'!$B$5,IF(B78='[1]DATOS 1'!$C$6,'[1]DATOS 1'!$B$6,IF(B78='[1]DATOS 1'!$C$7,'[1]DATOS 1'!$B$7,IF(B78='[1]DATOS 1'!$C$8,'[1]DATOS 1'!$B$8,IF(B78='[1]DATOS 1'!$C$9,'[1]DATOS 1'!$B$9,IF(B78='[1]DATOS 1'!$C$10,'[1]DATOS 1'!$B$10,IF(B78='[1]DATOS 1'!$C$11,'[1]DATOS 1'!$B$11,IF(B78='[1]DATOS 1'!$C$12,'[1]DATOS 1'!$B$12,IF(B78='[1]DATOS 1'!$C$13,'[1]DATOS 1'!$B$13,IF(B78='[1]DATOS 1'!$C$14,'[1]DATOS 1'!$B$14,IF(B78='[1]DATOS 1'!$C$15,'[1]DATOS 1'!$B$15,IF(B78='[1]DATOS 1'!$C$16,'[1]DATOS 1'!$B$16,IF(B78='[1]DATOS 1'!$C$17,'[1]DATOS 1'!$B$17,IF(B78='[1]DATOS 1'!$C$18,'[1]DATOS 1'!$B$18,IF(B78='[1]DATOS 1'!$C$19,'[1]DATOS 1'!$B$19,IF(B78='[1]DATOS 1'!$C$20,'[1]DATOS 1'!$B$20,IF(B78='[1]DATOS 1'!$C$21,'[1]DATOS 1'!$B$21,IF(B78='[1]DATOS 1'!$C$22,'[1]DATOS 1'!$B$22,IF(B78='[1]DATOS 1'!$C$23,'[1]DATOS 1'!$B$23,IF(B78='[1]DATOS 1'!$C$24,'[1]DATOS 1'!$B$24,IF(B78='[1]DATOS 1'!$C$25,'[1]DATOS 1'!$B$25,IF(B78='[1]DATOS 1'!$C$26,'[1]DATOS 1'!$B$26,IF(B78='[1]DATOS 1'!$C$27,'[1]DATOS 1'!$B$27,IF(B78='[1]DATOS 1'!$C$28,'[1]DATOS 1'!$B$28,IF(B78='[1]DATOS 1'!$C$29,'[1]DATOS 1'!$B$29,IF(B78='[1]DATOS 1'!$C$30,'[1]DATOS 1'!$B$30,IF(B78='[1]DATOS 1'!$C$31,'[1]DATOS 1'!$B$31,IF(B78='[1]DATOS 1'!$C$32,'[1]DATOS 1'!$B$32,IF(B78='[1]DATOS 1'!$C$33,'[1]DATOS 1'!$B$33,IF(B78='[1]DATOS 1'!$C$34,'[1]DATOS 1'!$B$34,IF(B78='[1]DATOS 1'!$C$35,'[1]DATOS 1'!$B$35," ")))))))))))))))))))))))))))))))))</f>
        <v>DCD. INSTITUCIONAL</v>
      </c>
      <c r="D78" s="2" t="s">
        <v>121</v>
      </c>
      <c r="E78" s="2" t="s">
        <v>406</v>
      </c>
      <c r="F78" s="79" t="s">
        <v>407</v>
      </c>
      <c r="G78" s="79">
        <v>1</v>
      </c>
      <c r="H78" s="79" t="s">
        <v>408</v>
      </c>
      <c r="I78" s="99">
        <v>530517</v>
      </c>
      <c r="J78" s="71" t="s">
        <v>409</v>
      </c>
      <c r="K78" s="74">
        <v>1855</v>
      </c>
      <c r="L78" s="74">
        <f>+K78*13</f>
        <v>24115</v>
      </c>
    </row>
    <row r="79" spans="1:12" ht="105" x14ac:dyDescent="0.25">
      <c r="A79" s="49"/>
      <c r="B79" s="51" t="s">
        <v>147</v>
      </c>
      <c r="C79" s="50" t="str">
        <f>IF(B79='[1]DATOS 1'!$C$3,'[1]DATOS 1'!$B$3,IF(B79='[1]DATOS 1'!$C$4,'[1]DATOS 1'!$B$4,IF(B79='[1]DATOS 1'!$C$5,'[1]DATOS 1'!$B$5,IF(B79='[1]DATOS 1'!$C$6,'[1]DATOS 1'!$B$6,IF(B79='[1]DATOS 1'!$C$7,'[1]DATOS 1'!$B$7,IF(B79='[1]DATOS 1'!$C$8,'[1]DATOS 1'!$B$8,IF(B79='[1]DATOS 1'!$C$9,'[1]DATOS 1'!$B$9,IF(B79='[1]DATOS 1'!$C$10,'[1]DATOS 1'!$B$10,IF(B79='[1]DATOS 1'!$C$11,'[1]DATOS 1'!$B$11,IF(B79='[1]DATOS 1'!$C$12,'[1]DATOS 1'!$B$12,IF(B79='[1]DATOS 1'!$C$13,'[1]DATOS 1'!$B$13,IF(B79='[1]DATOS 1'!$C$14,'[1]DATOS 1'!$B$14,IF(B79='[1]DATOS 1'!$C$15,'[1]DATOS 1'!$B$15,IF(B79='[1]DATOS 1'!$C$16,'[1]DATOS 1'!$B$16,IF(B79='[1]DATOS 1'!$C$17,'[1]DATOS 1'!$B$17,IF(B79='[1]DATOS 1'!$C$18,'[1]DATOS 1'!$B$18,IF(B79='[1]DATOS 1'!$C$19,'[1]DATOS 1'!$B$19,IF(B79='[1]DATOS 1'!$C$20,'[1]DATOS 1'!$B$20,IF(B79='[1]DATOS 1'!$C$21,'[1]DATOS 1'!$B$21,IF(B79='[1]DATOS 1'!$C$22,'[1]DATOS 1'!$B$22,IF(B79='[1]DATOS 1'!$C$23,'[1]DATOS 1'!$B$23,IF(B79='[1]DATOS 1'!$C$24,'[1]DATOS 1'!$B$24,IF(B79='[1]DATOS 1'!$C$25,'[1]DATOS 1'!$B$25,IF(B79='[1]DATOS 1'!$C$26,'[1]DATOS 1'!$B$26,IF(B79='[1]DATOS 1'!$C$27,'[1]DATOS 1'!$B$27,IF(B79='[1]DATOS 1'!$C$28,'[1]DATOS 1'!$B$28,IF(B79='[1]DATOS 1'!$C$29,'[1]DATOS 1'!$B$29,IF(B79='[1]DATOS 1'!$C$30,'[1]DATOS 1'!$B$30,IF(B79='[1]DATOS 1'!$C$31,'[1]DATOS 1'!$B$31,IF(B79='[1]DATOS 1'!$C$32,'[1]DATOS 1'!$B$32,IF(B79='[1]DATOS 1'!$C$33,'[1]DATOS 1'!$B$33,IF(B79='[1]DATOS 1'!$C$34,'[1]DATOS 1'!$B$34,IF(B79='[1]DATOS 1'!$C$35,'[1]DATOS 1'!$B$35," ")))))))))))))))))))))))))))))))))</f>
        <v>DCD. INSTITUCIONAL</v>
      </c>
      <c r="D79" s="2" t="s">
        <v>120</v>
      </c>
      <c r="E79" s="2" t="s">
        <v>410</v>
      </c>
      <c r="F79" s="79" t="s">
        <v>400</v>
      </c>
      <c r="G79" s="79">
        <v>1</v>
      </c>
      <c r="H79" s="2" t="s">
        <v>413</v>
      </c>
      <c r="I79" s="100">
        <v>530501</v>
      </c>
      <c r="J79" s="98" t="s">
        <v>416</v>
      </c>
      <c r="K79" s="74">
        <v>1120</v>
      </c>
      <c r="L79" s="74">
        <f>+K79*13</f>
        <v>14560</v>
      </c>
    </row>
    <row r="80" spans="1:12" ht="120" x14ac:dyDescent="0.25">
      <c r="A80" s="49"/>
      <c r="B80" s="51" t="s">
        <v>147</v>
      </c>
      <c r="C80" s="50" t="str">
        <f>IF(B80='[1]DATOS 1'!$C$3,'[1]DATOS 1'!$B$3,IF(B80='[1]DATOS 1'!$C$4,'[1]DATOS 1'!$B$4,IF(B80='[1]DATOS 1'!$C$5,'[1]DATOS 1'!$B$5,IF(B80='[1]DATOS 1'!$C$6,'[1]DATOS 1'!$B$6,IF(B80='[1]DATOS 1'!$C$7,'[1]DATOS 1'!$B$7,IF(B80='[1]DATOS 1'!$C$8,'[1]DATOS 1'!$B$8,IF(B80='[1]DATOS 1'!$C$9,'[1]DATOS 1'!$B$9,IF(B80='[1]DATOS 1'!$C$10,'[1]DATOS 1'!$B$10,IF(B80='[1]DATOS 1'!$C$11,'[1]DATOS 1'!$B$11,IF(B80='[1]DATOS 1'!$C$12,'[1]DATOS 1'!$B$12,IF(B80='[1]DATOS 1'!$C$13,'[1]DATOS 1'!$B$13,IF(B80='[1]DATOS 1'!$C$14,'[1]DATOS 1'!$B$14,IF(B80='[1]DATOS 1'!$C$15,'[1]DATOS 1'!$B$15,IF(B80='[1]DATOS 1'!$C$16,'[1]DATOS 1'!$B$16,IF(B80='[1]DATOS 1'!$C$17,'[1]DATOS 1'!$B$17,IF(B80='[1]DATOS 1'!$C$18,'[1]DATOS 1'!$B$18,IF(B80='[1]DATOS 1'!$C$19,'[1]DATOS 1'!$B$19,IF(B80='[1]DATOS 1'!$C$20,'[1]DATOS 1'!$B$20,IF(B80='[1]DATOS 1'!$C$21,'[1]DATOS 1'!$B$21,IF(B80='[1]DATOS 1'!$C$22,'[1]DATOS 1'!$B$22,IF(B80='[1]DATOS 1'!$C$23,'[1]DATOS 1'!$B$23,IF(B80='[1]DATOS 1'!$C$24,'[1]DATOS 1'!$B$24,IF(B80='[1]DATOS 1'!$C$25,'[1]DATOS 1'!$B$25,IF(B80='[1]DATOS 1'!$C$26,'[1]DATOS 1'!$B$26,IF(B80='[1]DATOS 1'!$C$27,'[1]DATOS 1'!$B$27,IF(B80='[1]DATOS 1'!$C$28,'[1]DATOS 1'!$B$28,IF(B80='[1]DATOS 1'!$C$29,'[1]DATOS 1'!$B$29,IF(B80='[1]DATOS 1'!$C$30,'[1]DATOS 1'!$B$30,IF(B80='[1]DATOS 1'!$C$31,'[1]DATOS 1'!$B$31,IF(B80='[1]DATOS 1'!$C$32,'[1]DATOS 1'!$B$32,IF(B80='[1]DATOS 1'!$C$33,'[1]DATOS 1'!$B$33,IF(B80='[1]DATOS 1'!$C$34,'[1]DATOS 1'!$B$34,IF(B80='[1]DATOS 1'!$C$35,'[1]DATOS 1'!$B$35," ")))))))))))))))))))))))))))))))))</f>
        <v>DCD. INSTITUCIONAL</v>
      </c>
      <c r="D80" s="2" t="s">
        <v>120</v>
      </c>
      <c r="E80" s="2" t="s">
        <v>411</v>
      </c>
      <c r="F80" s="79" t="s">
        <v>412</v>
      </c>
      <c r="G80" s="79" t="s">
        <v>414</v>
      </c>
      <c r="H80" s="2" t="s">
        <v>415</v>
      </c>
      <c r="I80" s="100">
        <v>530502</v>
      </c>
      <c r="J80" s="98" t="s">
        <v>384</v>
      </c>
      <c r="K80" s="74">
        <v>4489.5200000000004</v>
      </c>
      <c r="L80" s="74">
        <v>45967.4</v>
      </c>
    </row>
    <row r="81" spans="1:12" ht="210" x14ac:dyDescent="0.25">
      <c r="A81" s="49"/>
      <c r="B81" s="51" t="s">
        <v>147</v>
      </c>
      <c r="C81" s="50" t="str">
        <f>IF(B81='[1]DATOS 1'!$C$3,'[1]DATOS 1'!$B$3,IF(B81='[1]DATOS 1'!$C$4,'[1]DATOS 1'!$B$4,IF(B81='[1]DATOS 1'!$C$5,'[1]DATOS 1'!$B$5,IF(B81='[1]DATOS 1'!$C$6,'[1]DATOS 1'!$B$6,IF(B81='[1]DATOS 1'!$C$7,'[1]DATOS 1'!$B$7,IF(B81='[1]DATOS 1'!$C$8,'[1]DATOS 1'!$B$8,IF(B81='[1]DATOS 1'!$C$9,'[1]DATOS 1'!$B$9,IF(B81='[1]DATOS 1'!$C$10,'[1]DATOS 1'!$B$10,IF(B81='[1]DATOS 1'!$C$11,'[1]DATOS 1'!$B$11,IF(B81='[1]DATOS 1'!$C$12,'[1]DATOS 1'!$B$12,IF(B81='[1]DATOS 1'!$C$13,'[1]DATOS 1'!$B$13,IF(B81='[1]DATOS 1'!$C$14,'[1]DATOS 1'!$B$14,IF(B81='[1]DATOS 1'!$C$15,'[1]DATOS 1'!$B$15,IF(B81='[1]DATOS 1'!$C$16,'[1]DATOS 1'!$B$16,IF(B81='[1]DATOS 1'!$C$17,'[1]DATOS 1'!$B$17,IF(B81='[1]DATOS 1'!$C$18,'[1]DATOS 1'!$B$18,IF(B81='[1]DATOS 1'!$C$19,'[1]DATOS 1'!$B$19,IF(B81='[1]DATOS 1'!$C$20,'[1]DATOS 1'!$B$20,IF(B81='[1]DATOS 1'!$C$21,'[1]DATOS 1'!$B$21,IF(B81='[1]DATOS 1'!$C$22,'[1]DATOS 1'!$B$22,IF(B81='[1]DATOS 1'!$C$23,'[1]DATOS 1'!$B$23,IF(B81='[1]DATOS 1'!$C$24,'[1]DATOS 1'!$B$24,IF(B81='[1]DATOS 1'!$C$25,'[1]DATOS 1'!$B$25,IF(B81='[1]DATOS 1'!$C$26,'[1]DATOS 1'!$B$26,IF(B81='[1]DATOS 1'!$C$27,'[1]DATOS 1'!$B$27,IF(B81='[1]DATOS 1'!$C$28,'[1]DATOS 1'!$B$28,IF(B81='[1]DATOS 1'!$C$29,'[1]DATOS 1'!$B$29,IF(B81='[1]DATOS 1'!$C$30,'[1]DATOS 1'!$B$30,IF(B81='[1]DATOS 1'!$C$31,'[1]DATOS 1'!$B$31,IF(B81='[1]DATOS 1'!$C$32,'[1]DATOS 1'!$B$32,IF(B81='[1]DATOS 1'!$C$33,'[1]DATOS 1'!$B$33,IF(B81='[1]DATOS 1'!$C$34,'[1]DATOS 1'!$B$34,IF(B81='[1]DATOS 1'!$C$35,'[1]DATOS 1'!$B$35," ")))))))))))))))))))))))))))))))))</f>
        <v>DCD. INSTITUCIONAL</v>
      </c>
      <c r="D81" s="2" t="s">
        <v>119</v>
      </c>
      <c r="E81" s="2" t="s">
        <v>417</v>
      </c>
      <c r="F81" s="79" t="s">
        <v>418</v>
      </c>
      <c r="G81" s="79"/>
      <c r="H81" s="2"/>
      <c r="I81" s="95">
        <v>530801</v>
      </c>
      <c r="J81" s="71" t="s">
        <v>419</v>
      </c>
      <c r="K81" s="74"/>
      <c r="L81" s="74">
        <v>1500</v>
      </c>
    </row>
    <row r="82" spans="1:12" ht="96" x14ac:dyDescent="0.25">
      <c r="A82" s="49"/>
      <c r="B82" s="51" t="s">
        <v>147</v>
      </c>
      <c r="C82" s="50" t="str">
        <f>IF(B82='[1]DATOS 1'!$C$3,'[1]DATOS 1'!$B$3,IF(B82='[1]DATOS 1'!$C$4,'[1]DATOS 1'!$B$4,IF(B82='[1]DATOS 1'!$C$5,'[1]DATOS 1'!$B$5,IF(B82='[1]DATOS 1'!$C$6,'[1]DATOS 1'!$B$6,IF(B82='[1]DATOS 1'!$C$7,'[1]DATOS 1'!$B$7,IF(B82='[1]DATOS 1'!$C$8,'[1]DATOS 1'!$B$8,IF(B82='[1]DATOS 1'!$C$9,'[1]DATOS 1'!$B$9,IF(B82='[1]DATOS 1'!$C$10,'[1]DATOS 1'!$B$10,IF(B82='[1]DATOS 1'!$C$11,'[1]DATOS 1'!$B$11,IF(B82='[1]DATOS 1'!$C$12,'[1]DATOS 1'!$B$12,IF(B82='[1]DATOS 1'!$C$13,'[1]DATOS 1'!$B$13,IF(B82='[1]DATOS 1'!$C$14,'[1]DATOS 1'!$B$14,IF(B82='[1]DATOS 1'!$C$15,'[1]DATOS 1'!$B$15,IF(B82='[1]DATOS 1'!$C$16,'[1]DATOS 1'!$B$16,IF(B82='[1]DATOS 1'!$C$17,'[1]DATOS 1'!$B$17,IF(B82='[1]DATOS 1'!$C$18,'[1]DATOS 1'!$B$18,IF(B82='[1]DATOS 1'!$C$19,'[1]DATOS 1'!$B$19,IF(B82='[1]DATOS 1'!$C$20,'[1]DATOS 1'!$B$20,IF(B82='[1]DATOS 1'!$C$21,'[1]DATOS 1'!$B$21,IF(B82='[1]DATOS 1'!$C$22,'[1]DATOS 1'!$B$22,IF(B82='[1]DATOS 1'!$C$23,'[1]DATOS 1'!$B$23,IF(B82='[1]DATOS 1'!$C$24,'[1]DATOS 1'!$B$24,IF(B82='[1]DATOS 1'!$C$25,'[1]DATOS 1'!$B$25,IF(B82='[1]DATOS 1'!$C$26,'[1]DATOS 1'!$B$26,IF(B82='[1]DATOS 1'!$C$27,'[1]DATOS 1'!$B$27,IF(B82='[1]DATOS 1'!$C$28,'[1]DATOS 1'!$B$28,IF(B82='[1]DATOS 1'!$C$29,'[1]DATOS 1'!$B$29,IF(B82='[1]DATOS 1'!$C$30,'[1]DATOS 1'!$B$30,IF(B82='[1]DATOS 1'!$C$31,'[1]DATOS 1'!$B$31,IF(B82='[1]DATOS 1'!$C$32,'[1]DATOS 1'!$B$32,IF(B82='[1]DATOS 1'!$C$33,'[1]DATOS 1'!$B$33,IF(B82='[1]DATOS 1'!$C$34,'[1]DATOS 1'!$B$34,IF(B82='[1]DATOS 1'!$C$35,'[1]DATOS 1'!$B$35," ")))))))))))))))))))))))))))))))))</f>
        <v>DCD. INSTITUCIONAL</v>
      </c>
      <c r="D82" s="2" t="s">
        <v>118</v>
      </c>
      <c r="E82" s="2" t="s">
        <v>420</v>
      </c>
      <c r="F82" s="79" t="s">
        <v>421</v>
      </c>
      <c r="G82" s="79" t="s">
        <v>422</v>
      </c>
      <c r="H82" s="2" t="s">
        <v>423</v>
      </c>
      <c r="I82" s="95">
        <v>530209</v>
      </c>
      <c r="J82" s="66" t="s">
        <v>424</v>
      </c>
      <c r="K82" s="74">
        <v>1090.82</v>
      </c>
      <c r="L82" s="74">
        <v>14705</v>
      </c>
    </row>
    <row r="83" spans="1:12" ht="345" x14ac:dyDescent="0.25">
      <c r="A83" s="49"/>
      <c r="B83" s="51" t="s">
        <v>147</v>
      </c>
      <c r="C83" s="50" t="str">
        <f>IF(B83='[1]DATOS 1'!$C$3,'[1]DATOS 1'!$B$3,IF(B83='[1]DATOS 1'!$C$4,'[1]DATOS 1'!$B$4,IF(B83='[1]DATOS 1'!$C$5,'[1]DATOS 1'!$B$5,IF(B83='[1]DATOS 1'!$C$6,'[1]DATOS 1'!$B$6,IF(B83='[1]DATOS 1'!$C$7,'[1]DATOS 1'!$B$7,IF(B83='[1]DATOS 1'!$C$8,'[1]DATOS 1'!$B$8,IF(B83='[1]DATOS 1'!$C$9,'[1]DATOS 1'!$B$9,IF(B83='[1]DATOS 1'!$C$10,'[1]DATOS 1'!$B$10,IF(B83='[1]DATOS 1'!$C$11,'[1]DATOS 1'!$B$11,IF(B83='[1]DATOS 1'!$C$12,'[1]DATOS 1'!$B$12,IF(B83='[1]DATOS 1'!$C$13,'[1]DATOS 1'!$B$13,IF(B83='[1]DATOS 1'!$C$14,'[1]DATOS 1'!$B$14,IF(B83='[1]DATOS 1'!$C$15,'[1]DATOS 1'!$B$15,IF(B83='[1]DATOS 1'!$C$16,'[1]DATOS 1'!$B$16,IF(B83='[1]DATOS 1'!$C$17,'[1]DATOS 1'!$B$17,IF(B83='[1]DATOS 1'!$C$18,'[1]DATOS 1'!$B$18,IF(B83='[1]DATOS 1'!$C$19,'[1]DATOS 1'!$B$19,IF(B83='[1]DATOS 1'!$C$20,'[1]DATOS 1'!$B$20,IF(B83='[1]DATOS 1'!$C$21,'[1]DATOS 1'!$B$21,IF(B83='[1]DATOS 1'!$C$22,'[1]DATOS 1'!$B$22,IF(B83='[1]DATOS 1'!$C$23,'[1]DATOS 1'!$B$23,IF(B83='[1]DATOS 1'!$C$24,'[1]DATOS 1'!$B$24,IF(B83='[1]DATOS 1'!$C$25,'[1]DATOS 1'!$B$25,IF(B83='[1]DATOS 1'!$C$26,'[1]DATOS 1'!$B$26,IF(B83='[1]DATOS 1'!$C$27,'[1]DATOS 1'!$B$27,IF(B83='[1]DATOS 1'!$C$28,'[1]DATOS 1'!$B$28,IF(B83='[1]DATOS 1'!$C$29,'[1]DATOS 1'!$B$29,IF(B83='[1]DATOS 1'!$C$30,'[1]DATOS 1'!$B$30,IF(B83='[1]DATOS 1'!$C$31,'[1]DATOS 1'!$B$31,IF(B83='[1]DATOS 1'!$C$32,'[1]DATOS 1'!$B$32,IF(B83='[1]DATOS 1'!$C$33,'[1]DATOS 1'!$B$33,IF(B83='[1]DATOS 1'!$C$34,'[1]DATOS 1'!$B$34,IF(B83='[1]DATOS 1'!$C$35,'[1]DATOS 1'!$B$35," ")))))))))))))))))))))))))))))))))</f>
        <v>DCD. INSTITUCIONAL</v>
      </c>
      <c r="D83" s="2" t="s">
        <v>117</v>
      </c>
      <c r="E83" s="2" t="s">
        <v>425</v>
      </c>
      <c r="F83" s="79" t="s">
        <v>426</v>
      </c>
      <c r="G83" s="79">
        <v>40</v>
      </c>
      <c r="H83" s="2" t="s">
        <v>427</v>
      </c>
      <c r="I83" s="95">
        <v>530802</v>
      </c>
      <c r="J83" s="71" t="s">
        <v>428</v>
      </c>
      <c r="K83" s="74">
        <v>262.5</v>
      </c>
      <c r="L83" s="74">
        <v>10500</v>
      </c>
    </row>
    <row r="84" spans="1:12" ht="165" x14ac:dyDescent="0.25">
      <c r="A84" s="49"/>
      <c r="B84" s="51" t="s">
        <v>147</v>
      </c>
      <c r="C84" s="50" t="str">
        <f>IF(B84='[1]DATOS 1'!$C$3,'[1]DATOS 1'!$B$3,IF(B84='[1]DATOS 1'!$C$4,'[1]DATOS 1'!$B$4,IF(B84='[1]DATOS 1'!$C$5,'[1]DATOS 1'!$B$5,IF(B84='[1]DATOS 1'!$C$6,'[1]DATOS 1'!$B$6,IF(B84='[1]DATOS 1'!$C$7,'[1]DATOS 1'!$B$7,IF(B84='[1]DATOS 1'!$C$8,'[1]DATOS 1'!$B$8,IF(B84='[1]DATOS 1'!$C$9,'[1]DATOS 1'!$B$9,IF(B84='[1]DATOS 1'!$C$10,'[1]DATOS 1'!$B$10,IF(B84='[1]DATOS 1'!$C$11,'[1]DATOS 1'!$B$11,IF(B84='[1]DATOS 1'!$C$12,'[1]DATOS 1'!$B$12,IF(B84='[1]DATOS 1'!$C$13,'[1]DATOS 1'!$B$13,IF(B84='[1]DATOS 1'!$C$14,'[1]DATOS 1'!$B$14,IF(B84='[1]DATOS 1'!$C$15,'[1]DATOS 1'!$B$15,IF(B84='[1]DATOS 1'!$C$16,'[1]DATOS 1'!$B$16,IF(B84='[1]DATOS 1'!$C$17,'[1]DATOS 1'!$B$17,IF(B84='[1]DATOS 1'!$C$18,'[1]DATOS 1'!$B$18,IF(B84='[1]DATOS 1'!$C$19,'[1]DATOS 1'!$B$19,IF(B84='[1]DATOS 1'!$C$20,'[1]DATOS 1'!$B$20,IF(B84='[1]DATOS 1'!$C$21,'[1]DATOS 1'!$B$21,IF(B84='[1]DATOS 1'!$C$22,'[1]DATOS 1'!$B$22,IF(B84='[1]DATOS 1'!$C$23,'[1]DATOS 1'!$B$23,IF(B84='[1]DATOS 1'!$C$24,'[1]DATOS 1'!$B$24,IF(B84='[1]DATOS 1'!$C$25,'[1]DATOS 1'!$B$25,IF(B84='[1]DATOS 1'!$C$26,'[1]DATOS 1'!$B$26,IF(B84='[1]DATOS 1'!$C$27,'[1]DATOS 1'!$B$27,IF(B84='[1]DATOS 1'!$C$28,'[1]DATOS 1'!$B$28,IF(B84='[1]DATOS 1'!$C$29,'[1]DATOS 1'!$B$29,IF(B84='[1]DATOS 1'!$C$30,'[1]DATOS 1'!$B$30,IF(B84='[1]DATOS 1'!$C$31,'[1]DATOS 1'!$B$31,IF(B84='[1]DATOS 1'!$C$32,'[1]DATOS 1'!$B$32,IF(B84='[1]DATOS 1'!$C$33,'[1]DATOS 1'!$B$33,IF(B84='[1]DATOS 1'!$C$34,'[1]DATOS 1'!$B$34,IF(B84='[1]DATOS 1'!$C$35,'[1]DATOS 1'!$B$35," ")))))))))))))))))))))))))))))))))</f>
        <v>DCD. INSTITUCIONAL</v>
      </c>
      <c r="D84" s="2" t="s">
        <v>106</v>
      </c>
      <c r="E84" s="2" t="s">
        <v>436</v>
      </c>
      <c r="F84" s="79" t="s">
        <v>437</v>
      </c>
      <c r="G84" s="79">
        <v>2</v>
      </c>
      <c r="H84" s="2" t="s">
        <v>438</v>
      </c>
      <c r="I84" s="95">
        <v>530702</v>
      </c>
      <c r="J84" s="71" t="s">
        <v>371</v>
      </c>
      <c r="K84" s="74"/>
      <c r="L84" s="74"/>
    </row>
    <row r="85" spans="1:12" ht="60" x14ac:dyDescent="0.25">
      <c r="A85" s="49"/>
      <c r="B85" s="51" t="s">
        <v>147</v>
      </c>
      <c r="C85" s="50" t="str">
        <f>IF(B85='[1]DATOS 1'!$C$3,'[1]DATOS 1'!$B$3,IF(B85='[1]DATOS 1'!$C$4,'[1]DATOS 1'!$B$4,IF(B85='[1]DATOS 1'!$C$5,'[1]DATOS 1'!$B$5,IF(B85='[1]DATOS 1'!$C$6,'[1]DATOS 1'!$B$6,IF(B85='[1]DATOS 1'!$C$7,'[1]DATOS 1'!$B$7,IF(B85='[1]DATOS 1'!$C$8,'[1]DATOS 1'!$B$8,IF(B85='[1]DATOS 1'!$C$9,'[1]DATOS 1'!$B$9,IF(B85='[1]DATOS 1'!$C$10,'[1]DATOS 1'!$B$10,IF(B85='[1]DATOS 1'!$C$11,'[1]DATOS 1'!$B$11,IF(B85='[1]DATOS 1'!$C$12,'[1]DATOS 1'!$B$12,IF(B85='[1]DATOS 1'!$C$13,'[1]DATOS 1'!$B$13,IF(B85='[1]DATOS 1'!$C$14,'[1]DATOS 1'!$B$14,IF(B85='[1]DATOS 1'!$C$15,'[1]DATOS 1'!$B$15,IF(B85='[1]DATOS 1'!$C$16,'[1]DATOS 1'!$B$16,IF(B85='[1]DATOS 1'!$C$17,'[1]DATOS 1'!$B$17,IF(B85='[1]DATOS 1'!$C$18,'[1]DATOS 1'!$B$18,IF(B85='[1]DATOS 1'!$C$19,'[1]DATOS 1'!$B$19,IF(B85='[1]DATOS 1'!$C$20,'[1]DATOS 1'!$B$20,IF(B85='[1]DATOS 1'!$C$21,'[1]DATOS 1'!$B$21,IF(B85='[1]DATOS 1'!$C$22,'[1]DATOS 1'!$B$22,IF(B85='[1]DATOS 1'!$C$23,'[1]DATOS 1'!$B$23,IF(B85='[1]DATOS 1'!$C$24,'[1]DATOS 1'!$B$24,IF(B85='[1]DATOS 1'!$C$25,'[1]DATOS 1'!$B$25,IF(B85='[1]DATOS 1'!$C$26,'[1]DATOS 1'!$B$26,IF(B85='[1]DATOS 1'!$C$27,'[1]DATOS 1'!$B$27,IF(B85='[1]DATOS 1'!$C$28,'[1]DATOS 1'!$B$28,IF(B85='[1]DATOS 1'!$C$29,'[1]DATOS 1'!$B$29,IF(B85='[1]DATOS 1'!$C$30,'[1]DATOS 1'!$B$30,IF(B85='[1]DATOS 1'!$C$31,'[1]DATOS 1'!$B$31,IF(B85='[1]DATOS 1'!$C$32,'[1]DATOS 1'!$B$32,IF(B85='[1]DATOS 1'!$C$33,'[1]DATOS 1'!$B$33,IF(B85='[1]DATOS 1'!$C$34,'[1]DATOS 1'!$B$34,IF(B85='[1]DATOS 1'!$C$35,'[1]DATOS 1'!$B$35," ")))))))))))))))))))))))))))))))))</f>
        <v>DCD. INSTITUCIONAL</v>
      </c>
      <c r="D85" s="2" t="s">
        <v>106</v>
      </c>
      <c r="E85" s="2" t="s">
        <v>439</v>
      </c>
      <c r="F85" s="2" t="s">
        <v>437</v>
      </c>
      <c r="G85" s="79">
        <v>1</v>
      </c>
      <c r="H85" s="2" t="s">
        <v>440</v>
      </c>
      <c r="I85" s="95">
        <v>530702</v>
      </c>
      <c r="J85" s="71" t="s">
        <v>371</v>
      </c>
      <c r="K85" s="74"/>
      <c r="L85" s="74"/>
    </row>
    <row r="86" spans="1:12" ht="105" x14ac:dyDescent="0.25">
      <c r="A86" s="49"/>
      <c r="B86" s="51" t="s">
        <v>147</v>
      </c>
      <c r="C86" s="50" t="str">
        <f>IF(B86='[1]DATOS 1'!$C$3,'[1]DATOS 1'!$B$3,IF(B86='[1]DATOS 1'!$C$4,'[1]DATOS 1'!$B$4,IF(B86='[1]DATOS 1'!$C$5,'[1]DATOS 1'!$B$5,IF(B86='[1]DATOS 1'!$C$6,'[1]DATOS 1'!$B$6,IF(B86='[1]DATOS 1'!$C$7,'[1]DATOS 1'!$B$7,IF(B86='[1]DATOS 1'!$C$8,'[1]DATOS 1'!$B$8,IF(B86='[1]DATOS 1'!$C$9,'[1]DATOS 1'!$B$9,IF(B86='[1]DATOS 1'!$C$10,'[1]DATOS 1'!$B$10,IF(B86='[1]DATOS 1'!$C$11,'[1]DATOS 1'!$B$11,IF(B86='[1]DATOS 1'!$C$12,'[1]DATOS 1'!$B$12,IF(B86='[1]DATOS 1'!$C$13,'[1]DATOS 1'!$B$13,IF(B86='[1]DATOS 1'!$C$14,'[1]DATOS 1'!$B$14,IF(B86='[1]DATOS 1'!$C$15,'[1]DATOS 1'!$B$15,IF(B86='[1]DATOS 1'!$C$16,'[1]DATOS 1'!$B$16,IF(B86='[1]DATOS 1'!$C$17,'[1]DATOS 1'!$B$17,IF(B86='[1]DATOS 1'!$C$18,'[1]DATOS 1'!$B$18,IF(B86='[1]DATOS 1'!$C$19,'[1]DATOS 1'!$B$19,IF(B86='[1]DATOS 1'!$C$20,'[1]DATOS 1'!$B$20,IF(B86='[1]DATOS 1'!$C$21,'[1]DATOS 1'!$B$21,IF(B86='[1]DATOS 1'!$C$22,'[1]DATOS 1'!$B$22,IF(B86='[1]DATOS 1'!$C$23,'[1]DATOS 1'!$B$23,IF(B86='[1]DATOS 1'!$C$24,'[1]DATOS 1'!$B$24,IF(B86='[1]DATOS 1'!$C$25,'[1]DATOS 1'!$B$25,IF(B86='[1]DATOS 1'!$C$26,'[1]DATOS 1'!$B$26,IF(B86='[1]DATOS 1'!$C$27,'[1]DATOS 1'!$B$27,IF(B86='[1]DATOS 1'!$C$28,'[1]DATOS 1'!$B$28,IF(B86='[1]DATOS 1'!$C$29,'[1]DATOS 1'!$B$29,IF(B86='[1]DATOS 1'!$C$30,'[1]DATOS 1'!$B$30,IF(B86='[1]DATOS 1'!$C$31,'[1]DATOS 1'!$B$31,IF(B86='[1]DATOS 1'!$C$32,'[1]DATOS 1'!$B$32,IF(B86='[1]DATOS 1'!$C$33,'[1]DATOS 1'!$B$33,IF(B86='[1]DATOS 1'!$C$34,'[1]DATOS 1'!$B$34,IF(B86='[1]DATOS 1'!$C$35,'[1]DATOS 1'!$B$35," ")))))))))))))))))))))))))))))))))</f>
        <v>DCD. INSTITUCIONAL</v>
      </c>
      <c r="D86" s="2" t="s">
        <v>106</v>
      </c>
      <c r="E86" s="2" t="s">
        <v>441</v>
      </c>
      <c r="F86" s="2" t="s">
        <v>437</v>
      </c>
      <c r="G86" s="79">
        <v>1</v>
      </c>
      <c r="H86" s="2" t="s">
        <v>437</v>
      </c>
      <c r="I86" s="95">
        <v>530702</v>
      </c>
      <c r="J86" s="71" t="s">
        <v>371</v>
      </c>
      <c r="K86" s="74"/>
      <c r="L86" s="74"/>
    </row>
    <row r="87" spans="1:12" ht="135" x14ac:dyDescent="0.25">
      <c r="A87" s="49"/>
      <c r="B87" s="51" t="s">
        <v>147</v>
      </c>
      <c r="C87" s="50" t="str">
        <f>IF(B87='[1]DATOS 1'!$C$3,'[1]DATOS 1'!$B$3,IF(B87='[1]DATOS 1'!$C$4,'[1]DATOS 1'!$B$4,IF(B87='[1]DATOS 1'!$C$5,'[1]DATOS 1'!$B$5,IF(B87='[1]DATOS 1'!$C$6,'[1]DATOS 1'!$B$6,IF(B87='[1]DATOS 1'!$C$7,'[1]DATOS 1'!$B$7,IF(B87='[1]DATOS 1'!$C$8,'[1]DATOS 1'!$B$8,IF(B87='[1]DATOS 1'!$C$9,'[1]DATOS 1'!$B$9,IF(B87='[1]DATOS 1'!$C$10,'[1]DATOS 1'!$B$10,IF(B87='[1]DATOS 1'!$C$11,'[1]DATOS 1'!$B$11,IF(B87='[1]DATOS 1'!$C$12,'[1]DATOS 1'!$B$12,IF(B87='[1]DATOS 1'!$C$13,'[1]DATOS 1'!$B$13,IF(B87='[1]DATOS 1'!$C$14,'[1]DATOS 1'!$B$14,IF(B87='[1]DATOS 1'!$C$15,'[1]DATOS 1'!$B$15,IF(B87='[1]DATOS 1'!$C$16,'[1]DATOS 1'!$B$16,IF(B87='[1]DATOS 1'!$C$17,'[1]DATOS 1'!$B$17,IF(B87='[1]DATOS 1'!$C$18,'[1]DATOS 1'!$B$18,IF(B87='[1]DATOS 1'!$C$19,'[1]DATOS 1'!$B$19,IF(B87='[1]DATOS 1'!$C$20,'[1]DATOS 1'!$B$20,IF(B87='[1]DATOS 1'!$C$21,'[1]DATOS 1'!$B$21,IF(B87='[1]DATOS 1'!$C$22,'[1]DATOS 1'!$B$22,IF(B87='[1]DATOS 1'!$C$23,'[1]DATOS 1'!$B$23,IF(B87='[1]DATOS 1'!$C$24,'[1]DATOS 1'!$B$24,IF(B87='[1]DATOS 1'!$C$25,'[1]DATOS 1'!$B$25,IF(B87='[1]DATOS 1'!$C$26,'[1]DATOS 1'!$B$26,IF(B87='[1]DATOS 1'!$C$27,'[1]DATOS 1'!$B$27,IF(B87='[1]DATOS 1'!$C$28,'[1]DATOS 1'!$B$28,IF(B87='[1]DATOS 1'!$C$29,'[1]DATOS 1'!$B$29,IF(B87='[1]DATOS 1'!$C$30,'[1]DATOS 1'!$B$30,IF(B87='[1]DATOS 1'!$C$31,'[1]DATOS 1'!$B$31,IF(B87='[1]DATOS 1'!$C$32,'[1]DATOS 1'!$B$32,IF(B87='[1]DATOS 1'!$C$33,'[1]DATOS 1'!$B$33,IF(B87='[1]DATOS 1'!$C$34,'[1]DATOS 1'!$B$34,IF(B87='[1]DATOS 1'!$C$35,'[1]DATOS 1'!$B$35," ")))))))))))))))))))))))))))))))))</f>
        <v>DCD. INSTITUCIONAL</v>
      </c>
      <c r="D87" s="2" t="s">
        <v>106</v>
      </c>
      <c r="E87" s="2" t="s">
        <v>442</v>
      </c>
      <c r="F87" s="2" t="s">
        <v>443</v>
      </c>
      <c r="G87" s="79">
        <v>4</v>
      </c>
      <c r="H87" s="2" t="s">
        <v>444</v>
      </c>
      <c r="I87" s="100">
        <v>570201</v>
      </c>
      <c r="J87" s="98" t="s">
        <v>429</v>
      </c>
      <c r="K87" s="74"/>
      <c r="L87" s="74"/>
    </row>
    <row r="88" spans="1:12" ht="105" x14ac:dyDescent="0.25">
      <c r="A88" s="49"/>
      <c r="B88" s="51" t="s">
        <v>147</v>
      </c>
      <c r="C88" s="50" t="str">
        <f>IF(B88='[1]DATOS 1'!$C$3,'[1]DATOS 1'!$B$3,IF(B88='[1]DATOS 1'!$C$4,'[1]DATOS 1'!$B$4,IF(B88='[1]DATOS 1'!$C$5,'[1]DATOS 1'!$B$5,IF(B88='[1]DATOS 1'!$C$6,'[1]DATOS 1'!$B$6,IF(B88='[1]DATOS 1'!$C$7,'[1]DATOS 1'!$B$7,IF(B88='[1]DATOS 1'!$C$8,'[1]DATOS 1'!$B$8,IF(B88='[1]DATOS 1'!$C$9,'[1]DATOS 1'!$B$9,IF(B88='[1]DATOS 1'!$C$10,'[1]DATOS 1'!$B$10,IF(B88='[1]DATOS 1'!$C$11,'[1]DATOS 1'!$B$11,IF(B88='[1]DATOS 1'!$C$12,'[1]DATOS 1'!$B$12,IF(B88='[1]DATOS 1'!$C$13,'[1]DATOS 1'!$B$13,IF(B88='[1]DATOS 1'!$C$14,'[1]DATOS 1'!$B$14,IF(B88='[1]DATOS 1'!$C$15,'[1]DATOS 1'!$B$15,IF(B88='[1]DATOS 1'!$C$16,'[1]DATOS 1'!$B$16,IF(B88='[1]DATOS 1'!$C$17,'[1]DATOS 1'!$B$17,IF(B88='[1]DATOS 1'!$C$18,'[1]DATOS 1'!$B$18,IF(B88='[1]DATOS 1'!$C$19,'[1]DATOS 1'!$B$19,IF(B88='[1]DATOS 1'!$C$20,'[1]DATOS 1'!$B$20,IF(B88='[1]DATOS 1'!$C$21,'[1]DATOS 1'!$B$21,IF(B88='[1]DATOS 1'!$C$22,'[1]DATOS 1'!$B$22,IF(B88='[1]DATOS 1'!$C$23,'[1]DATOS 1'!$B$23,IF(B88='[1]DATOS 1'!$C$24,'[1]DATOS 1'!$B$24,IF(B88='[1]DATOS 1'!$C$25,'[1]DATOS 1'!$B$25,IF(B88='[1]DATOS 1'!$C$26,'[1]DATOS 1'!$B$26,IF(B88='[1]DATOS 1'!$C$27,'[1]DATOS 1'!$B$27,IF(B88='[1]DATOS 1'!$C$28,'[1]DATOS 1'!$B$28,IF(B88='[1]DATOS 1'!$C$29,'[1]DATOS 1'!$B$29,IF(B88='[1]DATOS 1'!$C$30,'[1]DATOS 1'!$B$30,IF(B88='[1]DATOS 1'!$C$31,'[1]DATOS 1'!$B$31,IF(B88='[1]DATOS 1'!$C$32,'[1]DATOS 1'!$B$32,IF(B88='[1]DATOS 1'!$C$33,'[1]DATOS 1'!$B$33,IF(B88='[1]DATOS 1'!$C$34,'[1]DATOS 1'!$B$34,IF(B88='[1]DATOS 1'!$C$35,'[1]DATOS 1'!$B$35," ")))))))))))))))))))))))))))))))))</f>
        <v>DCD. INSTITUCIONAL</v>
      </c>
      <c r="D88" s="2" t="s">
        <v>106</v>
      </c>
      <c r="E88" s="2" t="s">
        <v>445</v>
      </c>
      <c r="F88" s="2" t="s">
        <v>447</v>
      </c>
      <c r="G88" s="79">
        <v>20</v>
      </c>
      <c r="H88" s="2" t="s">
        <v>446</v>
      </c>
      <c r="I88" s="101">
        <v>530612</v>
      </c>
      <c r="J88" s="71" t="s">
        <v>430</v>
      </c>
      <c r="K88" s="74"/>
      <c r="L88" s="74"/>
    </row>
    <row r="89" spans="1:12" ht="120" x14ac:dyDescent="0.25">
      <c r="A89" s="49"/>
      <c r="B89" s="51" t="s">
        <v>147</v>
      </c>
      <c r="C89" s="50" t="str">
        <f>IF(B89='[1]DATOS 1'!$C$3,'[1]DATOS 1'!$B$3,IF(B89='[1]DATOS 1'!$C$4,'[1]DATOS 1'!$B$4,IF(B89='[1]DATOS 1'!$C$5,'[1]DATOS 1'!$B$5,IF(B89='[1]DATOS 1'!$C$6,'[1]DATOS 1'!$B$6,IF(B89='[1]DATOS 1'!$C$7,'[1]DATOS 1'!$B$7,IF(B89='[1]DATOS 1'!$C$8,'[1]DATOS 1'!$B$8,IF(B89='[1]DATOS 1'!$C$9,'[1]DATOS 1'!$B$9,IF(B89='[1]DATOS 1'!$C$10,'[1]DATOS 1'!$B$10,IF(B89='[1]DATOS 1'!$C$11,'[1]DATOS 1'!$B$11,IF(B89='[1]DATOS 1'!$C$12,'[1]DATOS 1'!$B$12,IF(B89='[1]DATOS 1'!$C$13,'[1]DATOS 1'!$B$13,IF(B89='[1]DATOS 1'!$C$14,'[1]DATOS 1'!$B$14,IF(B89='[1]DATOS 1'!$C$15,'[1]DATOS 1'!$B$15,IF(B89='[1]DATOS 1'!$C$16,'[1]DATOS 1'!$B$16,IF(B89='[1]DATOS 1'!$C$17,'[1]DATOS 1'!$B$17,IF(B89='[1]DATOS 1'!$C$18,'[1]DATOS 1'!$B$18,IF(B89='[1]DATOS 1'!$C$19,'[1]DATOS 1'!$B$19,IF(B89='[1]DATOS 1'!$C$20,'[1]DATOS 1'!$B$20,IF(B89='[1]DATOS 1'!$C$21,'[1]DATOS 1'!$B$21,IF(B89='[1]DATOS 1'!$C$22,'[1]DATOS 1'!$B$22,IF(B89='[1]DATOS 1'!$C$23,'[1]DATOS 1'!$B$23,IF(B89='[1]DATOS 1'!$C$24,'[1]DATOS 1'!$B$24,IF(B89='[1]DATOS 1'!$C$25,'[1]DATOS 1'!$B$25,IF(B89='[1]DATOS 1'!$C$26,'[1]DATOS 1'!$B$26,IF(B89='[1]DATOS 1'!$C$27,'[1]DATOS 1'!$B$27,IF(B89='[1]DATOS 1'!$C$28,'[1]DATOS 1'!$B$28,IF(B89='[1]DATOS 1'!$C$29,'[1]DATOS 1'!$B$29,IF(B89='[1]DATOS 1'!$C$30,'[1]DATOS 1'!$B$30,IF(B89='[1]DATOS 1'!$C$31,'[1]DATOS 1'!$B$31,IF(B89='[1]DATOS 1'!$C$32,'[1]DATOS 1'!$B$32,IF(B89='[1]DATOS 1'!$C$33,'[1]DATOS 1'!$B$33,IF(B89='[1]DATOS 1'!$C$34,'[1]DATOS 1'!$B$34,IF(B89='[1]DATOS 1'!$C$35,'[1]DATOS 1'!$B$35," ")))))))))))))))))))))))))))))))))</f>
        <v>DCD. INSTITUCIONAL</v>
      </c>
      <c r="D89" s="2" t="s">
        <v>106</v>
      </c>
      <c r="E89" s="2" t="s">
        <v>448</v>
      </c>
      <c r="F89" s="2" t="s">
        <v>449</v>
      </c>
      <c r="G89" s="79">
        <v>8</v>
      </c>
      <c r="H89" s="2"/>
      <c r="I89" s="102">
        <v>530421</v>
      </c>
      <c r="J89" s="98" t="s">
        <v>431</v>
      </c>
      <c r="K89" s="74"/>
      <c r="L89" s="74"/>
    </row>
    <row r="90" spans="1:12" ht="60" x14ac:dyDescent="0.25">
      <c r="A90" s="49"/>
      <c r="B90" s="51" t="s">
        <v>147</v>
      </c>
      <c r="C90" s="50" t="str">
        <f>IF(B90='[1]DATOS 1'!$C$3,'[1]DATOS 1'!$B$3,IF(B90='[1]DATOS 1'!$C$4,'[1]DATOS 1'!$B$4,IF(B90='[1]DATOS 1'!$C$5,'[1]DATOS 1'!$B$5,IF(B90='[1]DATOS 1'!$C$6,'[1]DATOS 1'!$B$6,IF(B90='[1]DATOS 1'!$C$7,'[1]DATOS 1'!$B$7,IF(B90='[1]DATOS 1'!$C$8,'[1]DATOS 1'!$B$8,IF(B90='[1]DATOS 1'!$C$9,'[1]DATOS 1'!$B$9,IF(B90='[1]DATOS 1'!$C$10,'[1]DATOS 1'!$B$10,IF(B90='[1]DATOS 1'!$C$11,'[1]DATOS 1'!$B$11,IF(B90='[1]DATOS 1'!$C$12,'[1]DATOS 1'!$B$12,IF(B90='[1]DATOS 1'!$C$13,'[1]DATOS 1'!$B$13,IF(B90='[1]DATOS 1'!$C$14,'[1]DATOS 1'!$B$14,IF(B90='[1]DATOS 1'!$C$15,'[1]DATOS 1'!$B$15,IF(B90='[1]DATOS 1'!$C$16,'[1]DATOS 1'!$B$16,IF(B90='[1]DATOS 1'!$C$17,'[1]DATOS 1'!$B$17,IF(B90='[1]DATOS 1'!$C$18,'[1]DATOS 1'!$B$18,IF(B90='[1]DATOS 1'!$C$19,'[1]DATOS 1'!$B$19,IF(B90='[1]DATOS 1'!$C$20,'[1]DATOS 1'!$B$20,IF(B90='[1]DATOS 1'!$C$21,'[1]DATOS 1'!$B$21,IF(B90='[1]DATOS 1'!$C$22,'[1]DATOS 1'!$B$22,IF(B90='[1]DATOS 1'!$C$23,'[1]DATOS 1'!$B$23,IF(B90='[1]DATOS 1'!$C$24,'[1]DATOS 1'!$B$24,IF(B90='[1]DATOS 1'!$C$25,'[1]DATOS 1'!$B$25,IF(B90='[1]DATOS 1'!$C$26,'[1]DATOS 1'!$B$26,IF(B90='[1]DATOS 1'!$C$27,'[1]DATOS 1'!$B$27,IF(B90='[1]DATOS 1'!$C$28,'[1]DATOS 1'!$B$28,IF(B90='[1]DATOS 1'!$C$29,'[1]DATOS 1'!$B$29,IF(B90='[1]DATOS 1'!$C$30,'[1]DATOS 1'!$B$30,IF(B90='[1]DATOS 1'!$C$31,'[1]DATOS 1'!$B$31,IF(B90='[1]DATOS 1'!$C$32,'[1]DATOS 1'!$B$32,IF(B90='[1]DATOS 1'!$C$33,'[1]DATOS 1'!$B$33,IF(B90='[1]DATOS 1'!$C$34,'[1]DATOS 1'!$B$34,IF(B90='[1]DATOS 1'!$C$35,'[1]DATOS 1'!$B$35," ")))))))))))))))))))))))))))))))))</f>
        <v>DCD. INSTITUCIONAL</v>
      </c>
      <c r="D90" s="2" t="s">
        <v>106</v>
      </c>
      <c r="E90" s="2" t="s">
        <v>450</v>
      </c>
      <c r="F90" s="2"/>
      <c r="G90" s="79"/>
      <c r="H90" s="2"/>
      <c r="I90" s="95">
        <v>530217</v>
      </c>
      <c r="J90" s="66" t="s">
        <v>432</v>
      </c>
      <c r="K90" s="74"/>
      <c r="L90" s="74">
        <v>11000</v>
      </c>
    </row>
    <row r="91" spans="1:12" ht="75" x14ac:dyDescent="0.25">
      <c r="A91" s="49"/>
      <c r="B91" s="51" t="s">
        <v>147</v>
      </c>
      <c r="C91" s="50" t="str">
        <f>IF(B91='[1]DATOS 1'!$C$3,'[1]DATOS 1'!$B$3,IF(B91='[1]DATOS 1'!$C$4,'[1]DATOS 1'!$B$4,IF(B91='[1]DATOS 1'!$C$5,'[1]DATOS 1'!$B$5,IF(B91='[1]DATOS 1'!$C$6,'[1]DATOS 1'!$B$6,IF(B91='[1]DATOS 1'!$C$7,'[1]DATOS 1'!$B$7,IF(B91='[1]DATOS 1'!$C$8,'[1]DATOS 1'!$B$8,IF(B91='[1]DATOS 1'!$C$9,'[1]DATOS 1'!$B$9,IF(B91='[1]DATOS 1'!$C$10,'[1]DATOS 1'!$B$10,IF(B91='[1]DATOS 1'!$C$11,'[1]DATOS 1'!$B$11,IF(B91='[1]DATOS 1'!$C$12,'[1]DATOS 1'!$B$12,IF(B91='[1]DATOS 1'!$C$13,'[1]DATOS 1'!$B$13,IF(B91='[1]DATOS 1'!$C$14,'[1]DATOS 1'!$B$14,IF(B91='[1]DATOS 1'!$C$15,'[1]DATOS 1'!$B$15,IF(B91='[1]DATOS 1'!$C$16,'[1]DATOS 1'!$B$16,IF(B91='[1]DATOS 1'!$C$17,'[1]DATOS 1'!$B$17,IF(B91='[1]DATOS 1'!$C$18,'[1]DATOS 1'!$B$18,IF(B91='[1]DATOS 1'!$C$19,'[1]DATOS 1'!$B$19,IF(B91='[1]DATOS 1'!$C$20,'[1]DATOS 1'!$B$20,IF(B91='[1]DATOS 1'!$C$21,'[1]DATOS 1'!$B$21,IF(B91='[1]DATOS 1'!$C$22,'[1]DATOS 1'!$B$22,IF(B91='[1]DATOS 1'!$C$23,'[1]DATOS 1'!$B$23,IF(B91='[1]DATOS 1'!$C$24,'[1]DATOS 1'!$B$24,IF(B91='[1]DATOS 1'!$C$25,'[1]DATOS 1'!$B$25,IF(B91='[1]DATOS 1'!$C$26,'[1]DATOS 1'!$B$26,IF(B91='[1]DATOS 1'!$C$27,'[1]DATOS 1'!$B$27,IF(B91='[1]DATOS 1'!$C$28,'[1]DATOS 1'!$B$28,IF(B91='[1]DATOS 1'!$C$29,'[1]DATOS 1'!$B$29,IF(B91='[1]DATOS 1'!$C$30,'[1]DATOS 1'!$B$30,IF(B91='[1]DATOS 1'!$C$31,'[1]DATOS 1'!$B$31,IF(B91='[1]DATOS 1'!$C$32,'[1]DATOS 1'!$B$32,IF(B91='[1]DATOS 1'!$C$33,'[1]DATOS 1'!$B$33,IF(B91='[1]DATOS 1'!$C$34,'[1]DATOS 1'!$B$34,IF(B91='[1]DATOS 1'!$C$35,'[1]DATOS 1'!$B$35," ")))))))))))))))))))))))))))))))))</f>
        <v>DCD. INSTITUCIONAL</v>
      </c>
      <c r="D91" s="2" t="s">
        <v>106</v>
      </c>
      <c r="E91" s="2" t="s">
        <v>451</v>
      </c>
      <c r="F91" s="2" t="s">
        <v>452</v>
      </c>
      <c r="G91" s="79">
        <v>20</v>
      </c>
      <c r="H91" s="2" t="s">
        <v>453</v>
      </c>
      <c r="I91" s="95">
        <v>530218</v>
      </c>
      <c r="J91" s="66" t="s">
        <v>433</v>
      </c>
      <c r="K91" s="74"/>
      <c r="L91" s="74">
        <v>16000</v>
      </c>
    </row>
    <row r="92" spans="1:12" ht="60" x14ac:dyDescent="0.25">
      <c r="A92" s="49"/>
      <c r="B92" s="51" t="s">
        <v>147</v>
      </c>
      <c r="C92" s="50" t="str">
        <f>IF(B92='[1]DATOS 1'!$C$3,'[1]DATOS 1'!$B$3,IF(B92='[1]DATOS 1'!$C$4,'[1]DATOS 1'!$B$4,IF(B92='[1]DATOS 1'!$C$5,'[1]DATOS 1'!$B$5,IF(B92='[1]DATOS 1'!$C$6,'[1]DATOS 1'!$B$6,IF(B92='[1]DATOS 1'!$C$7,'[1]DATOS 1'!$B$7,IF(B92='[1]DATOS 1'!$C$8,'[1]DATOS 1'!$B$8,IF(B92='[1]DATOS 1'!$C$9,'[1]DATOS 1'!$B$9,IF(B92='[1]DATOS 1'!$C$10,'[1]DATOS 1'!$B$10,IF(B92='[1]DATOS 1'!$C$11,'[1]DATOS 1'!$B$11,IF(B92='[1]DATOS 1'!$C$12,'[1]DATOS 1'!$B$12,IF(B92='[1]DATOS 1'!$C$13,'[1]DATOS 1'!$B$13,IF(B92='[1]DATOS 1'!$C$14,'[1]DATOS 1'!$B$14,IF(B92='[1]DATOS 1'!$C$15,'[1]DATOS 1'!$B$15,IF(B92='[1]DATOS 1'!$C$16,'[1]DATOS 1'!$B$16,IF(B92='[1]DATOS 1'!$C$17,'[1]DATOS 1'!$B$17,IF(B92='[1]DATOS 1'!$C$18,'[1]DATOS 1'!$B$18,IF(B92='[1]DATOS 1'!$C$19,'[1]DATOS 1'!$B$19,IF(B92='[1]DATOS 1'!$C$20,'[1]DATOS 1'!$B$20,IF(B92='[1]DATOS 1'!$C$21,'[1]DATOS 1'!$B$21,IF(B92='[1]DATOS 1'!$C$22,'[1]DATOS 1'!$B$22,IF(B92='[1]DATOS 1'!$C$23,'[1]DATOS 1'!$B$23,IF(B92='[1]DATOS 1'!$C$24,'[1]DATOS 1'!$B$24,IF(B92='[1]DATOS 1'!$C$25,'[1]DATOS 1'!$B$25,IF(B92='[1]DATOS 1'!$C$26,'[1]DATOS 1'!$B$26,IF(B92='[1]DATOS 1'!$C$27,'[1]DATOS 1'!$B$27,IF(B92='[1]DATOS 1'!$C$28,'[1]DATOS 1'!$B$28,IF(B92='[1]DATOS 1'!$C$29,'[1]DATOS 1'!$B$29,IF(B92='[1]DATOS 1'!$C$30,'[1]DATOS 1'!$B$30,IF(B92='[1]DATOS 1'!$C$31,'[1]DATOS 1'!$B$31,IF(B92='[1]DATOS 1'!$C$32,'[1]DATOS 1'!$B$32,IF(B92='[1]DATOS 1'!$C$33,'[1]DATOS 1'!$B$33,IF(B92='[1]DATOS 1'!$C$34,'[1]DATOS 1'!$B$34,IF(B92='[1]DATOS 1'!$C$35,'[1]DATOS 1'!$B$35," ")))))))))))))))))))))))))))))))))</f>
        <v>DCD. INSTITUCIONAL</v>
      </c>
      <c r="D92" s="2" t="s">
        <v>106</v>
      </c>
      <c r="E92" s="2" t="s">
        <v>454</v>
      </c>
      <c r="F92" s="2" t="s">
        <v>455</v>
      </c>
      <c r="G92" s="79" t="s">
        <v>456</v>
      </c>
      <c r="H92" s="2" t="s">
        <v>457</v>
      </c>
      <c r="I92" s="101">
        <v>530102</v>
      </c>
      <c r="J92" s="71" t="s">
        <v>434</v>
      </c>
      <c r="K92" s="74">
        <f>L92/13</f>
        <v>1030.7692307692307</v>
      </c>
      <c r="L92" s="74">
        <v>13400</v>
      </c>
    </row>
    <row r="93" spans="1:12" ht="120" x14ac:dyDescent="0.25">
      <c r="A93" s="49"/>
      <c r="B93" s="51" t="s">
        <v>147</v>
      </c>
      <c r="C93" s="50" t="str">
        <f>IF(B93='[1]DATOS 1'!$C$3,'[1]DATOS 1'!$B$3,IF(B93='[1]DATOS 1'!$C$4,'[1]DATOS 1'!$B$4,IF(B93='[1]DATOS 1'!$C$5,'[1]DATOS 1'!$B$5,IF(B93='[1]DATOS 1'!$C$6,'[1]DATOS 1'!$B$6,IF(B93='[1]DATOS 1'!$C$7,'[1]DATOS 1'!$B$7,IF(B93='[1]DATOS 1'!$C$8,'[1]DATOS 1'!$B$8,IF(B93='[1]DATOS 1'!$C$9,'[1]DATOS 1'!$B$9,IF(B93='[1]DATOS 1'!$C$10,'[1]DATOS 1'!$B$10,IF(B93='[1]DATOS 1'!$C$11,'[1]DATOS 1'!$B$11,IF(B93='[1]DATOS 1'!$C$12,'[1]DATOS 1'!$B$12,IF(B93='[1]DATOS 1'!$C$13,'[1]DATOS 1'!$B$13,IF(B93='[1]DATOS 1'!$C$14,'[1]DATOS 1'!$B$14,IF(B93='[1]DATOS 1'!$C$15,'[1]DATOS 1'!$B$15,IF(B93='[1]DATOS 1'!$C$16,'[1]DATOS 1'!$B$16,IF(B93='[1]DATOS 1'!$C$17,'[1]DATOS 1'!$B$17,IF(B93='[1]DATOS 1'!$C$18,'[1]DATOS 1'!$B$18,IF(B93='[1]DATOS 1'!$C$19,'[1]DATOS 1'!$B$19,IF(B93='[1]DATOS 1'!$C$20,'[1]DATOS 1'!$B$20,IF(B93='[1]DATOS 1'!$C$21,'[1]DATOS 1'!$B$21,IF(B93='[1]DATOS 1'!$C$22,'[1]DATOS 1'!$B$22,IF(B93='[1]DATOS 1'!$C$23,'[1]DATOS 1'!$B$23,IF(B93='[1]DATOS 1'!$C$24,'[1]DATOS 1'!$B$24,IF(B93='[1]DATOS 1'!$C$25,'[1]DATOS 1'!$B$25,IF(B93='[1]DATOS 1'!$C$26,'[1]DATOS 1'!$B$26,IF(B93='[1]DATOS 1'!$C$27,'[1]DATOS 1'!$B$27,IF(B93='[1]DATOS 1'!$C$28,'[1]DATOS 1'!$B$28,IF(B93='[1]DATOS 1'!$C$29,'[1]DATOS 1'!$B$29,IF(B93='[1]DATOS 1'!$C$30,'[1]DATOS 1'!$B$30,IF(B93='[1]DATOS 1'!$C$31,'[1]DATOS 1'!$B$31,IF(B93='[1]DATOS 1'!$C$32,'[1]DATOS 1'!$B$32,IF(B93='[1]DATOS 1'!$C$33,'[1]DATOS 1'!$B$33,IF(B93='[1]DATOS 1'!$C$34,'[1]DATOS 1'!$B$34,IF(B93='[1]DATOS 1'!$C$35,'[1]DATOS 1'!$B$35," ")))))))))))))))))))))))))))))))))</f>
        <v>DCD. INSTITUCIONAL</v>
      </c>
      <c r="D93" s="2" t="s">
        <v>106</v>
      </c>
      <c r="E93" s="2" t="s">
        <v>458</v>
      </c>
      <c r="F93" s="2"/>
      <c r="G93" s="79">
        <v>5</v>
      </c>
      <c r="H93" s="2"/>
      <c r="I93" s="101">
        <v>530103</v>
      </c>
      <c r="J93" s="71" t="s">
        <v>435</v>
      </c>
      <c r="K93" s="74">
        <f>18000/13</f>
        <v>1384.6153846153845</v>
      </c>
      <c r="L93" s="74">
        <v>18000</v>
      </c>
    </row>
  </sheetData>
  <autoFilter ref="A6:C13"/>
  <mergeCells count="11">
    <mergeCell ref="K5:L5"/>
    <mergeCell ref="A1:B1"/>
    <mergeCell ref="C1:L4"/>
    <mergeCell ref="A5:A6"/>
    <mergeCell ref="B5:C5"/>
    <mergeCell ref="D5:D6"/>
    <mergeCell ref="E5:E6"/>
    <mergeCell ref="F5:F6"/>
    <mergeCell ref="G5:G6"/>
    <mergeCell ref="H5:H6"/>
    <mergeCell ref="I5:J5"/>
  </mergeCells>
  <dataValidations count="1">
    <dataValidation type="decimal" allowBlank="1" showInputMessage="1" showErrorMessage="1" error="CELDA AUTOMATICA, NO INGRESE NINGUN VALOR" prompt="CELDA AUTOMATICA, NO INGRESE NINGUN VALOR" sqref="C7:C93">
      <formula1>0.00001</formula1>
      <formula2>1000000000000000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'C:\Users\ngarcia\AppData\Local\Temp\Users\SMART1~1\AppData\Local\Temp\[Copia de POA 2017-1.xlsx]DATOS 2'!#REF!</xm:f>
          </x14:formula1>
          <xm:sqref>D7:D93</xm:sqref>
        </x14:dataValidation>
        <x14:dataValidation type="list" allowBlank="1" showInputMessage="1" showErrorMessage="1" prompt="SELECCIONE DIRECCIÓN / EMPRESA">
          <x14:formula1>
            <xm:f>'C:\Users\ngarcia\AppData\Local\Temp\Users\SMART1~1\AppData\Local\Temp\[Copia de POA 2017-1.xlsx]DATOS 1'!#REF!</xm:f>
          </x14:formula1>
          <xm:sqref>B7:B93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7"/>
  <sheetViews>
    <sheetView topLeftCell="E1" zoomScale="85" zoomScaleNormal="85" workbookViewId="0">
      <selection activeCell="F23" sqref="F23"/>
    </sheetView>
  </sheetViews>
  <sheetFormatPr baseColWidth="10" defaultColWidth="11.42578125" defaultRowHeight="15" x14ac:dyDescent="0.25"/>
  <cols>
    <col min="1" max="1" width="4.28515625" style="54" bestFit="1" customWidth="1"/>
    <col min="2" max="2" width="50" style="55" bestFit="1" customWidth="1"/>
    <col min="3" max="3" width="27.85546875" style="54" bestFit="1" customWidth="1"/>
    <col min="4" max="4" width="20.7109375" style="1" customWidth="1"/>
    <col min="5" max="5" width="30.140625" style="1" customWidth="1"/>
    <col min="6" max="6" width="30.85546875" style="1" customWidth="1"/>
    <col min="7" max="7" width="15.28515625" style="1" customWidth="1"/>
    <col min="8" max="8" width="16" style="1" customWidth="1"/>
    <col min="9" max="11" width="11.42578125" style="1"/>
    <col min="12" max="12" width="36.7109375" style="1" customWidth="1"/>
    <col min="13" max="13" width="11.42578125" style="1"/>
    <col min="14" max="14" width="12.140625" style="1" bestFit="1" customWidth="1"/>
    <col min="15" max="16384" width="11.42578125" style="1"/>
  </cols>
  <sheetData>
    <row r="1" spans="1:18" ht="30" customHeight="1" x14ac:dyDescent="0.25">
      <c r="A1" s="472" t="s">
        <v>213</v>
      </c>
      <c r="B1" s="472"/>
      <c r="C1" s="479" t="s">
        <v>99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</row>
    <row r="2" spans="1:18" ht="15" customHeight="1" x14ac:dyDescent="0.25">
      <c r="A2" s="42"/>
      <c r="B2" s="2" t="s">
        <v>242</v>
      </c>
      <c r="C2" s="479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</row>
    <row r="3" spans="1:18" ht="15" customHeight="1" x14ac:dyDescent="0.25">
      <c r="A3" s="43"/>
      <c r="B3" s="2" t="s">
        <v>214</v>
      </c>
      <c r="C3" s="479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</row>
    <row r="4" spans="1:18" ht="15" customHeight="1" x14ac:dyDescent="0.25">
      <c r="A4" s="44"/>
      <c r="B4" s="2" t="s">
        <v>385</v>
      </c>
      <c r="C4" s="486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</row>
    <row r="5" spans="1:18" s="3" customFormat="1" ht="30" customHeight="1" x14ac:dyDescent="0.25">
      <c r="A5" s="474" t="s">
        <v>0</v>
      </c>
      <c r="B5" s="474" t="s">
        <v>1</v>
      </c>
      <c r="C5" s="474"/>
      <c r="D5" s="489" t="s">
        <v>98</v>
      </c>
      <c r="E5" s="474" t="s">
        <v>97</v>
      </c>
      <c r="F5" s="489" t="s">
        <v>96</v>
      </c>
      <c r="G5" s="489" t="s">
        <v>95</v>
      </c>
      <c r="H5" s="489"/>
      <c r="I5" s="489" t="s">
        <v>94</v>
      </c>
      <c r="J5" s="489"/>
      <c r="K5" s="488" t="s">
        <v>79</v>
      </c>
      <c r="L5" s="491"/>
      <c r="M5" s="477" t="s">
        <v>93</v>
      </c>
      <c r="N5" s="478"/>
      <c r="O5" s="492"/>
      <c r="P5" s="489" t="s">
        <v>92</v>
      </c>
      <c r="Q5" s="489"/>
      <c r="R5" s="489"/>
    </row>
    <row r="6" spans="1:18" s="3" customFormat="1" x14ac:dyDescent="0.25">
      <c r="A6" s="474"/>
      <c r="B6" s="45" t="s">
        <v>221</v>
      </c>
      <c r="C6" s="41" t="s">
        <v>8</v>
      </c>
      <c r="D6" s="490"/>
      <c r="E6" s="474"/>
      <c r="F6" s="490"/>
      <c r="G6" s="46" t="s">
        <v>91</v>
      </c>
      <c r="H6" s="46" t="s">
        <v>90</v>
      </c>
      <c r="I6" s="46" t="s">
        <v>89</v>
      </c>
      <c r="J6" s="46" t="s">
        <v>88</v>
      </c>
      <c r="K6" s="60" t="s">
        <v>77</v>
      </c>
      <c r="L6" s="60" t="s">
        <v>76</v>
      </c>
      <c r="M6" s="46" t="s">
        <v>87</v>
      </c>
      <c r="N6" s="46" t="s">
        <v>74</v>
      </c>
      <c r="O6" s="46" t="s">
        <v>129</v>
      </c>
      <c r="P6" s="46" t="s">
        <v>86</v>
      </c>
      <c r="Q6" s="46" t="s">
        <v>85</v>
      </c>
      <c r="R6" s="46" t="s">
        <v>84</v>
      </c>
    </row>
    <row r="7" spans="1:18" ht="45" x14ac:dyDescent="0.25">
      <c r="A7" s="49">
        <v>1</v>
      </c>
      <c r="B7" s="51" t="s">
        <v>147</v>
      </c>
      <c r="C7" s="50" t="str">
        <f>IF(B7='DATOS 1'!$C$3,'DATOS 1'!$B$3,IF(B7='DATOS 1'!$C$4,'DATOS 1'!$B$4,IF(B7='DATOS 1'!$C$5,'DATOS 1'!$B$5,IF(B7='DATOS 1'!$C$6,'DATOS 1'!$B$6,IF(B7='DATOS 1'!$C$7,'DATOS 1'!$B$7,IF(B7='DATOS 1'!$C$8,'DATOS 1'!$B$8,IF(B7='DATOS 1'!$C$9,'DATOS 1'!$B$9,IF(B7='DATOS 1'!$C$10,'DATOS 1'!$B$10,IF(B7='DATOS 1'!$C$11,'DATOS 1'!$B$11,IF(B7='DATOS 1'!$C$12,'DATOS 1'!$B$12,IF(B7='DATOS 1'!$C$13,'DATOS 1'!$B$13,IF(B7='DATOS 1'!$C$14,'DATOS 1'!$B$14,IF(B7='DATOS 1'!$C$15,'DATOS 1'!$B$15,IF(B7='DATOS 1'!$C$16,'DATOS 1'!$B$16,IF(B7='DATOS 1'!$C$17,'DATOS 1'!$B$17,IF(B7='DATOS 1'!$C$18,'DATOS 1'!$B$18,IF(B7='DATOS 1'!$C$19,'DATOS 1'!$B$19,IF(B7='DATOS 1'!$C$20,'DATOS 1'!$B$20,IF(B7='DATOS 1'!$C$21,'DATOS 1'!$B$21,IF(B7='DATOS 1'!$C$22,'DATOS 1'!$B$22,IF(B7='DATOS 1'!$C$23,'DATOS 1'!$B$23,IF(B7='DATOS 1'!$C$24,'DATOS 1'!$B$24,IF(B7='DATOS 1'!$C$25,'DATOS 1'!$B$25,IF(B7='DATOS 1'!$C$26,'DATOS 1'!$B$26,IF(B7='DATOS 1'!$C$27,'DATOS 1'!$B$27,IF(B7='DATOS 1'!$C$28,'DATOS 1'!$B$28,IF(B7='DATOS 1'!$C$29,'DATOS 1'!$B$29,IF(B7='DATOS 1'!$C$30,'DATOS 1'!$B$30,IF(B7='DATOS 1'!$C$31,'DATOS 1'!$B$31,IF(B7='DATOS 1'!$C$32,'DATOS 1'!$B$32,IF(B7='DATOS 1'!$C$33,'DATOS 1'!$B$33,IF(B7='DATOS 1'!$C$34,'DATOS 1'!$B$34,IF(B7='DATOS 1'!$C$35,'DATOS 1'!$B$35," ")))))))))))))))))))))))))))))))))</f>
        <v>DCD. INSTITUCIONAL</v>
      </c>
      <c r="D7" s="2" t="s">
        <v>359</v>
      </c>
      <c r="E7" s="2" t="s">
        <v>365</v>
      </c>
      <c r="F7" s="2" t="s">
        <v>366</v>
      </c>
      <c r="G7" s="79" t="s">
        <v>367</v>
      </c>
      <c r="H7" s="84">
        <v>13036194001001</v>
      </c>
      <c r="I7" s="73">
        <v>42320</v>
      </c>
      <c r="J7" s="73">
        <v>42675</v>
      </c>
      <c r="K7" s="2">
        <v>530501</v>
      </c>
      <c r="L7" s="66" t="s">
        <v>368</v>
      </c>
      <c r="M7" s="74">
        <v>1120</v>
      </c>
      <c r="N7" s="74">
        <f>+M7*12</f>
        <v>13440</v>
      </c>
      <c r="O7" s="74">
        <v>0</v>
      </c>
      <c r="P7" s="79" t="s">
        <v>356</v>
      </c>
      <c r="Q7" s="79"/>
      <c r="R7" s="79" t="s">
        <v>358</v>
      </c>
    </row>
    <row r="8" spans="1:18" ht="45" x14ac:dyDescent="0.25">
      <c r="A8" s="49">
        <v>2</v>
      </c>
      <c r="B8" s="51" t="s">
        <v>147</v>
      </c>
      <c r="C8" s="50" t="str">
        <f>IF(B8='DATOS 1'!$C$3,'DATOS 1'!$B$3,IF(B8='DATOS 1'!$C$4,'DATOS 1'!$B$4,IF(B8='DATOS 1'!$C$5,'DATOS 1'!$B$5,IF(B8='DATOS 1'!$C$6,'DATOS 1'!$B$6,IF(B8='DATOS 1'!$C$7,'DATOS 1'!$B$7,IF(B8='DATOS 1'!$C$8,'DATOS 1'!$B$8,IF(B8='DATOS 1'!$C$9,'DATOS 1'!$B$9,IF(B8='DATOS 1'!$C$10,'DATOS 1'!$B$10,IF(B8='DATOS 1'!$C$11,'DATOS 1'!$B$11,IF(B8='DATOS 1'!$C$12,'DATOS 1'!$B$12,IF(B8='DATOS 1'!$C$13,'DATOS 1'!$B$13,IF(B8='DATOS 1'!$C$14,'DATOS 1'!$B$14,IF(B8='DATOS 1'!$C$15,'DATOS 1'!$B$15,IF(B8='DATOS 1'!$C$16,'DATOS 1'!$B$16,IF(B8='DATOS 1'!$C$17,'DATOS 1'!$B$17,IF(B8='DATOS 1'!$C$18,'DATOS 1'!$B$18,IF(B8='DATOS 1'!$C$19,'DATOS 1'!$B$19,IF(B8='DATOS 1'!$C$20,'DATOS 1'!$B$20,IF(B8='DATOS 1'!$C$21,'DATOS 1'!$B$21,IF(B8='DATOS 1'!$C$22,'DATOS 1'!$B$22,IF(B8='DATOS 1'!$C$23,'DATOS 1'!$B$23,IF(B8='DATOS 1'!$C$24,'DATOS 1'!$B$24,IF(B8='DATOS 1'!$C$25,'DATOS 1'!$B$25,IF(B8='DATOS 1'!$C$26,'DATOS 1'!$B$26,IF(B8='DATOS 1'!$C$27,'DATOS 1'!$B$27,IF(B8='DATOS 1'!$C$28,'DATOS 1'!$B$28,IF(B8='DATOS 1'!$C$29,'DATOS 1'!$B$29,IF(B8='DATOS 1'!$C$30,'DATOS 1'!$B$30,IF(B8='DATOS 1'!$C$31,'DATOS 1'!$B$31,IF(B8='DATOS 1'!$C$32,'DATOS 1'!$B$32,IF(B8='DATOS 1'!$C$33,'DATOS 1'!$B$33,IF(B8='DATOS 1'!$C$34,'DATOS 1'!$B$34,IF(B8='DATOS 1'!$C$35,'DATOS 1'!$B$35," ")))))))))))))))))))))))))))))))))</f>
        <v>DCD. INSTITUCIONAL</v>
      </c>
      <c r="D8" s="2"/>
      <c r="E8" s="2" t="s">
        <v>365</v>
      </c>
      <c r="F8" s="2" t="s">
        <v>366</v>
      </c>
      <c r="G8" s="79" t="s">
        <v>367</v>
      </c>
      <c r="H8" s="84">
        <v>13036194001001</v>
      </c>
      <c r="I8" s="73">
        <v>42676</v>
      </c>
      <c r="J8" s="73">
        <v>42735</v>
      </c>
      <c r="K8" s="2">
        <v>530501</v>
      </c>
      <c r="L8" s="66" t="s">
        <v>368</v>
      </c>
      <c r="M8" s="74">
        <v>1120</v>
      </c>
      <c r="N8" s="74">
        <f>+M8*12</f>
        <v>13440</v>
      </c>
      <c r="O8" s="74">
        <f>+N8-1120</f>
        <v>12320</v>
      </c>
      <c r="P8" s="79"/>
      <c r="Q8" s="79" t="s">
        <v>356</v>
      </c>
      <c r="R8" s="79" t="s">
        <v>357</v>
      </c>
    </row>
    <row r="9" spans="1:18" ht="90" x14ac:dyDescent="0.25">
      <c r="A9" s="49">
        <v>3</v>
      </c>
      <c r="B9" s="51" t="s">
        <v>150</v>
      </c>
      <c r="C9" s="50" t="str">
        <f>IF(B9='DATOS 1'!$C$3,'DATOS 1'!$B$3,IF(B9='DATOS 1'!$C$4,'DATOS 1'!$B$4,IF(B9='DATOS 1'!$C$5,'DATOS 1'!$B$5,IF(B9='DATOS 1'!$C$6,'DATOS 1'!$B$6,IF(B9='DATOS 1'!$C$7,'DATOS 1'!$B$7,IF(B9='DATOS 1'!$C$8,'DATOS 1'!$B$8,IF(B9='DATOS 1'!$C$9,'DATOS 1'!$B$9,IF(B9='DATOS 1'!$C$10,'DATOS 1'!$B$10,IF(B9='DATOS 1'!$C$11,'DATOS 1'!$B$11,IF(B9='DATOS 1'!$C$12,'DATOS 1'!$B$12,IF(B9='DATOS 1'!$C$13,'DATOS 1'!$B$13,IF(B9='DATOS 1'!$C$14,'DATOS 1'!$B$14,IF(B9='DATOS 1'!$C$15,'DATOS 1'!$B$15,IF(B9='DATOS 1'!$C$16,'DATOS 1'!$B$16,IF(B9='DATOS 1'!$C$17,'DATOS 1'!$B$17,IF(B9='DATOS 1'!$C$18,'DATOS 1'!$B$18,IF(B9='DATOS 1'!$C$19,'DATOS 1'!$B$19,IF(B9='DATOS 1'!$C$20,'DATOS 1'!$B$20,IF(B9='DATOS 1'!$C$21,'DATOS 1'!$B$21,IF(B9='DATOS 1'!$C$22,'DATOS 1'!$B$22,IF(B9='DATOS 1'!$C$23,'DATOS 1'!$B$23,IF(B9='DATOS 1'!$C$24,'DATOS 1'!$B$24,IF(B9='DATOS 1'!$C$25,'DATOS 1'!$B$25,IF(B9='DATOS 1'!$C$26,'DATOS 1'!$B$26,IF(B9='DATOS 1'!$C$27,'DATOS 1'!$B$27,IF(B9='DATOS 1'!$C$28,'DATOS 1'!$B$28,IF(B9='DATOS 1'!$C$29,'DATOS 1'!$B$29,IF(B9='DATOS 1'!$C$30,'DATOS 1'!$B$30,IF(B9='DATOS 1'!$C$31,'DATOS 1'!$B$31,IF(B9='DATOS 1'!$C$32,'DATOS 1'!$B$32,IF(B9='DATOS 1'!$C$33,'DATOS 1'!$B$33,IF(B9='DATOS 1'!$C$34,'DATOS 1'!$B$34,IF(B9='DATOS 1'!$C$35,'DATOS 1'!$B$35," ")))))))))))))))))))))))))))))))))</f>
        <v>DCD. INSTITUCIONAL</v>
      </c>
      <c r="D9" s="2" t="s">
        <v>361</v>
      </c>
      <c r="E9" s="2" t="s">
        <v>373</v>
      </c>
      <c r="F9" s="2" t="s">
        <v>369</v>
      </c>
      <c r="G9" s="79" t="s">
        <v>370</v>
      </c>
      <c r="H9" s="84">
        <v>1791351525001</v>
      </c>
      <c r="I9" s="73">
        <v>42246</v>
      </c>
      <c r="J9" s="73">
        <v>42612</v>
      </c>
      <c r="K9" s="2">
        <v>530702</v>
      </c>
      <c r="L9" s="2" t="s">
        <v>371</v>
      </c>
      <c r="M9" s="2"/>
      <c r="N9" s="74">
        <f>6500*25%</f>
        <v>1625</v>
      </c>
      <c r="O9" s="74">
        <v>1625</v>
      </c>
      <c r="P9" s="79" t="s">
        <v>372</v>
      </c>
      <c r="Q9" s="79"/>
      <c r="R9" s="79" t="s">
        <v>358</v>
      </c>
    </row>
    <row r="10" spans="1:18" ht="60" x14ac:dyDescent="0.25">
      <c r="A10" s="49">
        <v>4</v>
      </c>
      <c r="B10" s="51" t="s">
        <v>150</v>
      </c>
      <c r="C10" s="50" t="str">
        <f>IF(B10='DATOS 1'!$C$3,'DATOS 1'!$B$3,IF(B10='DATOS 1'!$C$4,'DATOS 1'!$B$4,IF(B10='DATOS 1'!$C$5,'DATOS 1'!$B$5,IF(B10='DATOS 1'!$C$6,'DATOS 1'!$B$6,IF(B10='DATOS 1'!$C$7,'DATOS 1'!$B$7,IF(B10='DATOS 1'!$C$8,'DATOS 1'!$B$8,IF(B10='DATOS 1'!$C$9,'DATOS 1'!$B$9,IF(B10='DATOS 1'!$C$10,'DATOS 1'!$B$10,IF(B10='DATOS 1'!$C$11,'DATOS 1'!$B$11,IF(B10='DATOS 1'!$C$12,'DATOS 1'!$B$12,IF(B10='DATOS 1'!$C$13,'DATOS 1'!$B$13,IF(B10='DATOS 1'!$C$14,'DATOS 1'!$B$14,IF(B10='DATOS 1'!$C$15,'DATOS 1'!$B$15,IF(B10='DATOS 1'!$C$16,'DATOS 1'!$B$16,IF(B10='DATOS 1'!$C$17,'DATOS 1'!$B$17,IF(B10='DATOS 1'!$C$18,'DATOS 1'!$B$18,IF(B10='DATOS 1'!$C$19,'DATOS 1'!$B$19,IF(B10='DATOS 1'!$C$20,'DATOS 1'!$B$20,IF(B10='DATOS 1'!$C$21,'DATOS 1'!$B$21,IF(B10='DATOS 1'!$C$22,'DATOS 1'!$B$22,IF(B10='DATOS 1'!$C$23,'DATOS 1'!$B$23,IF(B10='DATOS 1'!$C$24,'DATOS 1'!$B$24,IF(B10='DATOS 1'!$C$25,'DATOS 1'!$B$25,IF(B10='DATOS 1'!$C$26,'DATOS 1'!$B$26,IF(B10='DATOS 1'!$C$27,'DATOS 1'!$B$27,IF(B10='DATOS 1'!$C$28,'DATOS 1'!$B$28,IF(B10='DATOS 1'!$C$29,'DATOS 1'!$B$29,IF(B10='DATOS 1'!$C$30,'DATOS 1'!$B$30,IF(B10='DATOS 1'!$C$31,'DATOS 1'!$B$31,IF(B10='DATOS 1'!$C$32,'DATOS 1'!$B$32,IF(B10='DATOS 1'!$C$33,'DATOS 1'!$B$33,IF(B10='DATOS 1'!$C$34,'DATOS 1'!$B$34,IF(B10='DATOS 1'!$C$35,'DATOS 1'!$B$35," ")))))))))))))))))))))))))))))))))</f>
        <v>DCD. INSTITUCIONAL</v>
      </c>
      <c r="D10" s="2" t="s">
        <v>362</v>
      </c>
      <c r="E10" s="2" t="s">
        <v>374</v>
      </c>
      <c r="F10" s="2" t="s">
        <v>369</v>
      </c>
      <c r="G10" s="79" t="s">
        <v>370</v>
      </c>
      <c r="H10" s="84">
        <v>1791351525001</v>
      </c>
      <c r="I10" s="73">
        <v>42352</v>
      </c>
      <c r="J10" s="73">
        <v>42717</v>
      </c>
      <c r="K10" s="2">
        <v>530702</v>
      </c>
      <c r="L10" s="2" t="s">
        <v>371</v>
      </c>
      <c r="M10" s="2"/>
      <c r="N10" s="74">
        <f>6000*12%+6000</f>
        <v>6720</v>
      </c>
      <c r="O10" s="74">
        <v>1500</v>
      </c>
      <c r="P10" s="79" t="s">
        <v>356</v>
      </c>
      <c r="Q10" s="79"/>
      <c r="R10" s="79" t="s">
        <v>358</v>
      </c>
    </row>
    <row r="11" spans="1:18" ht="45" x14ac:dyDescent="0.25">
      <c r="A11" s="49">
        <v>5</v>
      </c>
      <c r="B11" s="51" t="s">
        <v>147</v>
      </c>
      <c r="C11" s="50" t="str">
        <f>IF(B11='DATOS 1'!$C$3,'DATOS 1'!$B$3,IF(B11='DATOS 1'!$C$4,'DATOS 1'!$B$4,IF(B11='DATOS 1'!$C$5,'DATOS 1'!$B$5,IF(B11='DATOS 1'!$C$6,'DATOS 1'!$B$6,IF(B11='DATOS 1'!$C$7,'DATOS 1'!$B$7,IF(B11='DATOS 1'!$C$8,'DATOS 1'!$B$8,IF(B11='DATOS 1'!$C$9,'DATOS 1'!$B$9,IF(B11='DATOS 1'!$C$10,'DATOS 1'!$B$10,IF(B11='DATOS 1'!$C$11,'DATOS 1'!$B$11,IF(B11='DATOS 1'!$C$12,'DATOS 1'!$B$12,IF(B11='DATOS 1'!$C$13,'DATOS 1'!$B$13,IF(B11='DATOS 1'!$C$14,'DATOS 1'!$B$14,IF(B11='DATOS 1'!$C$15,'DATOS 1'!$B$15,IF(B11='DATOS 1'!$C$16,'DATOS 1'!$B$16,IF(B11='DATOS 1'!$C$17,'DATOS 1'!$B$17,IF(B11='DATOS 1'!$C$18,'DATOS 1'!$B$18,IF(B11='DATOS 1'!$C$19,'DATOS 1'!$B$19,IF(B11='DATOS 1'!$C$20,'DATOS 1'!$B$20,IF(B11='DATOS 1'!$C$21,'DATOS 1'!$B$21,IF(B11='DATOS 1'!$C$22,'DATOS 1'!$B$22,IF(B11='DATOS 1'!$C$23,'DATOS 1'!$B$23,IF(B11='DATOS 1'!$C$24,'DATOS 1'!$B$24,IF(B11='DATOS 1'!$C$25,'DATOS 1'!$B$25,IF(B11='DATOS 1'!$C$26,'DATOS 1'!$B$26,IF(B11='DATOS 1'!$C$27,'DATOS 1'!$B$27,IF(B11='DATOS 1'!$C$28,'DATOS 1'!$B$28,IF(B11='DATOS 1'!$C$29,'DATOS 1'!$B$29,IF(B11='DATOS 1'!$C$30,'DATOS 1'!$B$30,IF(B11='DATOS 1'!$C$31,'DATOS 1'!$B$31,IF(B11='DATOS 1'!$C$32,'DATOS 1'!$B$32,IF(B11='DATOS 1'!$C$33,'DATOS 1'!$B$33,IF(B11='DATOS 1'!$C$34,'DATOS 1'!$B$34,IF(B11='DATOS 1'!$C$35,'DATOS 1'!$B$35," ")))))))))))))))))))))))))))))))))</f>
        <v>DCD. INSTITUCIONAL</v>
      </c>
      <c r="D11" s="81" t="s">
        <v>360</v>
      </c>
      <c r="E11" s="80" t="s">
        <v>375</v>
      </c>
      <c r="F11" s="2" t="s">
        <v>376</v>
      </c>
      <c r="G11" s="79" t="s">
        <v>377</v>
      </c>
      <c r="H11" s="84">
        <v>1390057691001</v>
      </c>
      <c r="I11" s="73">
        <v>42430</v>
      </c>
      <c r="J11" s="73">
        <v>42794</v>
      </c>
      <c r="K11" s="2">
        <v>530218</v>
      </c>
      <c r="L11" s="2" t="s">
        <v>378</v>
      </c>
      <c r="M11" s="2"/>
      <c r="N11" s="74">
        <f>14400*12%+14400</f>
        <v>16128</v>
      </c>
      <c r="O11" s="74">
        <v>6000</v>
      </c>
      <c r="P11" s="79"/>
      <c r="Q11" s="79"/>
      <c r="R11" s="79" t="s">
        <v>358</v>
      </c>
    </row>
    <row r="12" spans="1:18" ht="45" x14ac:dyDescent="0.25">
      <c r="A12" s="49">
        <v>6</v>
      </c>
      <c r="B12" s="51" t="s">
        <v>147</v>
      </c>
      <c r="C12" s="50" t="str">
        <f>IF(B12='DATOS 1'!$C$3,'DATOS 1'!$B$3,IF(B12='DATOS 1'!$C$4,'DATOS 1'!$B$4,IF(B12='DATOS 1'!$C$5,'DATOS 1'!$B$5,IF(B12='DATOS 1'!$C$6,'DATOS 1'!$B$6,IF(B12='DATOS 1'!$C$7,'DATOS 1'!$B$7,IF(B12='DATOS 1'!$C$8,'DATOS 1'!$B$8,IF(B12='DATOS 1'!$C$9,'DATOS 1'!$B$9,IF(B12='DATOS 1'!$C$10,'DATOS 1'!$B$10,IF(B12='DATOS 1'!$C$11,'DATOS 1'!$B$11,IF(B12='DATOS 1'!$C$12,'DATOS 1'!$B$12,IF(B12='DATOS 1'!$C$13,'DATOS 1'!$B$13,IF(B12='DATOS 1'!$C$14,'DATOS 1'!$B$14,IF(B12='DATOS 1'!$C$15,'DATOS 1'!$B$15,IF(B12='DATOS 1'!$C$16,'DATOS 1'!$B$16,IF(B12='DATOS 1'!$C$17,'DATOS 1'!$B$17,IF(B12='DATOS 1'!$C$18,'DATOS 1'!$B$18,IF(B12='DATOS 1'!$C$19,'DATOS 1'!$B$19,IF(B12='DATOS 1'!$C$20,'DATOS 1'!$B$20,IF(B12='DATOS 1'!$C$21,'DATOS 1'!$B$21,IF(B12='DATOS 1'!$C$22,'DATOS 1'!$B$22,IF(B12='DATOS 1'!$C$23,'DATOS 1'!$B$23,IF(B12='DATOS 1'!$C$24,'DATOS 1'!$B$24,IF(B12='DATOS 1'!$C$25,'DATOS 1'!$B$25,IF(B12='DATOS 1'!$C$26,'DATOS 1'!$B$26,IF(B12='DATOS 1'!$C$27,'DATOS 1'!$B$27,IF(B12='DATOS 1'!$C$28,'DATOS 1'!$B$28,IF(B12='DATOS 1'!$C$29,'DATOS 1'!$B$29,IF(B12='DATOS 1'!$C$30,'DATOS 1'!$B$30,IF(B12='DATOS 1'!$C$31,'DATOS 1'!$B$31,IF(B12='DATOS 1'!$C$32,'DATOS 1'!$B$32,IF(B12='DATOS 1'!$C$33,'DATOS 1'!$B$33,IF(B12='DATOS 1'!$C$34,'DATOS 1'!$B$34,IF(B12='DATOS 1'!$C$35,'DATOS 1'!$B$35," ")))))))))))))))))))))))))))))))))</f>
        <v>DCD. INSTITUCIONAL</v>
      </c>
      <c r="D12" s="2"/>
      <c r="E12" s="80" t="s">
        <v>375</v>
      </c>
      <c r="F12" s="2" t="s">
        <v>376</v>
      </c>
      <c r="G12" s="79" t="s">
        <v>377</v>
      </c>
      <c r="H12" s="84">
        <v>1390057691001</v>
      </c>
      <c r="I12" s="73">
        <v>42795</v>
      </c>
      <c r="J12" s="73">
        <v>43100</v>
      </c>
      <c r="K12" s="2">
        <v>530218</v>
      </c>
      <c r="L12" s="2" t="s">
        <v>378</v>
      </c>
      <c r="M12" s="2"/>
      <c r="N12" s="74">
        <f>15000*12%+15000</f>
        <v>16800</v>
      </c>
      <c r="O12" s="74">
        <v>16800</v>
      </c>
      <c r="P12" s="79" t="s">
        <v>356</v>
      </c>
      <c r="Q12" s="79"/>
      <c r="R12" s="79" t="s">
        <v>358</v>
      </c>
    </row>
    <row r="13" spans="1:18" ht="64.5" thickBot="1" x14ac:dyDescent="0.3">
      <c r="A13" s="49">
        <v>7</v>
      </c>
      <c r="B13" s="51" t="s">
        <v>147</v>
      </c>
      <c r="C13" s="50" t="str">
        <f>IF(B13='DATOS 1'!$C$3,'DATOS 1'!$B$3,IF(B13='DATOS 1'!$C$4,'DATOS 1'!$B$4,IF(B13='DATOS 1'!$C$5,'DATOS 1'!$B$5,IF(B13='DATOS 1'!$C$6,'DATOS 1'!$B$6,IF(B13='DATOS 1'!$C$7,'DATOS 1'!$B$7,IF(B13='DATOS 1'!$C$8,'DATOS 1'!$B$8,IF(B13='DATOS 1'!$C$9,'DATOS 1'!$B$9,IF(B13='DATOS 1'!$C$10,'DATOS 1'!$B$10,IF(B13='DATOS 1'!$C$11,'DATOS 1'!$B$11,IF(B13='DATOS 1'!$C$12,'DATOS 1'!$B$12,IF(B13='DATOS 1'!$C$13,'DATOS 1'!$B$13,IF(B13='DATOS 1'!$C$14,'DATOS 1'!$B$14,IF(B13='DATOS 1'!$C$15,'DATOS 1'!$B$15,IF(B13='DATOS 1'!$C$16,'DATOS 1'!$B$16,IF(B13='DATOS 1'!$C$17,'DATOS 1'!$B$17,IF(B13='DATOS 1'!$C$18,'DATOS 1'!$B$18,IF(B13='DATOS 1'!$C$19,'DATOS 1'!$B$19,IF(B13='DATOS 1'!$C$20,'DATOS 1'!$B$20,IF(B13='DATOS 1'!$C$21,'DATOS 1'!$B$21,IF(B13='DATOS 1'!$C$22,'DATOS 1'!$B$22,IF(B13='DATOS 1'!$C$23,'DATOS 1'!$B$23,IF(B13='DATOS 1'!$C$24,'DATOS 1'!$B$24,IF(B13='DATOS 1'!$C$25,'DATOS 1'!$B$25,IF(B13='DATOS 1'!$C$26,'DATOS 1'!$B$26,IF(B13='DATOS 1'!$C$27,'DATOS 1'!$B$27,IF(B13='DATOS 1'!$C$28,'DATOS 1'!$B$28,IF(B13='DATOS 1'!$C$29,'DATOS 1'!$B$29,IF(B13='DATOS 1'!$C$30,'DATOS 1'!$B$30,IF(B13='DATOS 1'!$C$31,'DATOS 1'!$B$31,IF(B13='DATOS 1'!$C$32,'DATOS 1'!$B$32,IF(B13='DATOS 1'!$C$33,'DATOS 1'!$B$33,IF(B13='DATOS 1'!$C$34,'DATOS 1'!$B$34,IF(B13='DATOS 1'!$C$35,'DATOS 1'!$B$35," ")))))))))))))))))))))))))))))))))</f>
        <v>DCD. INSTITUCIONAL</v>
      </c>
      <c r="D13" s="83" t="s">
        <v>363</v>
      </c>
      <c r="E13" s="86" t="s">
        <v>379</v>
      </c>
      <c r="F13" s="2" t="s">
        <v>380</v>
      </c>
      <c r="G13" s="79" t="s">
        <v>364</v>
      </c>
      <c r="H13" s="84">
        <v>1391804792001</v>
      </c>
      <c r="I13" s="73">
        <v>42430</v>
      </c>
      <c r="J13" s="73">
        <v>42735</v>
      </c>
      <c r="K13" s="87">
        <v>530208</v>
      </c>
      <c r="L13" s="88" t="s">
        <v>381</v>
      </c>
      <c r="M13" s="2">
        <v>4020</v>
      </c>
      <c r="N13" s="74">
        <f>4020*12</f>
        <v>48240</v>
      </c>
      <c r="O13" s="74">
        <v>4020</v>
      </c>
      <c r="P13" s="79"/>
      <c r="Q13" s="79" t="s">
        <v>356</v>
      </c>
      <c r="R13" s="79" t="s">
        <v>357</v>
      </c>
    </row>
    <row r="14" spans="1:18" ht="64.5" thickBot="1" x14ac:dyDescent="0.3">
      <c r="A14" s="49">
        <v>8</v>
      </c>
      <c r="B14" s="51" t="s">
        <v>147</v>
      </c>
      <c r="C14" s="50" t="str">
        <f>IF(B14='DATOS 1'!$C$3,'DATOS 1'!$B$3,IF(B14='DATOS 1'!$C$4,'DATOS 1'!$B$4,IF(B14='DATOS 1'!$C$5,'DATOS 1'!$B$5,IF(B14='DATOS 1'!$C$6,'DATOS 1'!$B$6,IF(B14='DATOS 1'!$C$7,'DATOS 1'!$B$7,IF(B14='DATOS 1'!$C$8,'DATOS 1'!$B$8,IF(B14='DATOS 1'!$C$9,'DATOS 1'!$B$9,IF(B14='DATOS 1'!$C$10,'DATOS 1'!$B$10,IF(B14='DATOS 1'!$C$11,'DATOS 1'!$B$11,IF(B14='DATOS 1'!$C$12,'DATOS 1'!$B$12,IF(B14='DATOS 1'!$C$13,'DATOS 1'!$B$13,IF(B14='DATOS 1'!$C$14,'DATOS 1'!$B$14,IF(B14='DATOS 1'!$C$15,'DATOS 1'!$B$15,IF(B14='DATOS 1'!$C$16,'DATOS 1'!$B$16,IF(B14='DATOS 1'!$C$17,'DATOS 1'!$B$17,IF(B14='DATOS 1'!$C$18,'DATOS 1'!$B$18,IF(B14='DATOS 1'!$C$19,'DATOS 1'!$B$19,IF(B14='DATOS 1'!$C$20,'DATOS 1'!$B$20,IF(B14='DATOS 1'!$C$21,'DATOS 1'!$B$21,IF(B14='DATOS 1'!$C$22,'DATOS 1'!$B$22,IF(B14='DATOS 1'!$C$23,'DATOS 1'!$B$23,IF(B14='DATOS 1'!$C$24,'DATOS 1'!$B$24,IF(B14='DATOS 1'!$C$25,'DATOS 1'!$B$25,IF(B14='DATOS 1'!$C$26,'DATOS 1'!$B$26,IF(B14='DATOS 1'!$C$27,'DATOS 1'!$B$27,IF(B14='DATOS 1'!$C$28,'DATOS 1'!$B$28,IF(B14='DATOS 1'!$C$29,'DATOS 1'!$B$29,IF(B14='DATOS 1'!$C$30,'DATOS 1'!$B$30,IF(B14='DATOS 1'!$C$31,'DATOS 1'!$B$31,IF(B14='DATOS 1'!$C$32,'DATOS 1'!$B$32,IF(B14='DATOS 1'!$C$33,'DATOS 1'!$B$33,IF(B14='DATOS 1'!$C$34,'DATOS 1'!$B$34,IF(B14='DATOS 1'!$C$35,'DATOS 1'!$B$35," ")))))))))))))))))))))))))))))))))</f>
        <v>DCD. INSTITUCIONAL</v>
      </c>
      <c r="D14" s="2"/>
      <c r="E14" s="86" t="s">
        <v>379</v>
      </c>
      <c r="F14" s="2" t="s">
        <v>380</v>
      </c>
      <c r="G14" s="79"/>
      <c r="H14" s="84"/>
      <c r="I14" s="73">
        <v>42736</v>
      </c>
      <c r="J14" s="73">
        <v>43100</v>
      </c>
      <c r="K14" s="2">
        <v>520208</v>
      </c>
      <c r="L14" s="88" t="s">
        <v>381</v>
      </c>
      <c r="M14" s="2"/>
      <c r="N14" s="74">
        <v>50170</v>
      </c>
      <c r="O14" s="74"/>
      <c r="P14" s="79" t="s">
        <v>356</v>
      </c>
      <c r="Q14" s="79"/>
      <c r="R14" s="79"/>
    </row>
    <row r="15" spans="1:18" ht="60" x14ac:dyDescent="0.25">
      <c r="A15" s="49">
        <v>9</v>
      </c>
      <c r="B15" s="51" t="s">
        <v>147</v>
      </c>
      <c r="C15" s="50" t="str">
        <f>IF(B15='DATOS 1'!$C$3,'DATOS 1'!$B$3,IF(B15='DATOS 1'!$C$4,'DATOS 1'!$B$4,IF(B15='DATOS 1'!$C$5,'DATOS 1'!$B$5,IF(B15='DATOS 1'!$C$6,'DATOS 1'!$B$6,IF(B15='DATOS 1'!$C$7,'DATOS 1'!$B$7,IF(B15='DATOS 1'!$C$8,'DATOS 1'!$B$8,IF(B15='DATOS 1'!$C$9,'DATOS 1'!$B$9,IF(B15='DATOS 1'!$C$10,'DATOS 1'!$B$10,IF(B15='DATOS 1'!$C$11,'DATOS 1'!$B$11,IF(B15='DATOS 1'!$C$12,'DATOS 1'!$B$12,IF(B15='DATOS 1'!$C$13,'DATOS 1'!$B$13,IF(B15='DATOS 1'!$C$14,'DATOS 1'!$B$14,IF(B15='DATOS 1'!$C$15,'DATOS 1'!$B$15,IF(B15='DATOS 1'!$C$16,'DATOS 1'!$B$16,IF(B15='DATOS 1'!$C$17,'DATOS 1'!$B$17,IF(B15='DATOS 1'!$C$18,'DATOS 1'!$B$18,IF(B15='DATOS 1'!$C$19,'DATOS 1'!$B$19,IF(B15='DATOS 1'!$C$20,'DATOS 1'!$B$20,IF(B15='DATOS 1'!$C$21,'DATOS 1'!$B$21,IF(B15='DATOS 1'!$C$22,'DATOS 1'!$B$22,IF(B15='DATOS 1'!$C$23,'DATOS 1'!$B$23,IF(B15='DATOS 1'!$C$24,'DATOS 1'!$B$24,IF(B15='DATOS 1'!$C$25,'DATOS 1'!$B$25,IF(B15='DATOS 1'!$C$26,'DATOS 1'!$B$26,IF(B15='DATOS 1'!$C$27,'DATOS 1'!$B$27,IF(B15='DATOS 1'!$C$28,'DATOS 1'!$B$28,IF(B15='DATOS 1'!$C$29,'DATOS 1'!$B$29,IF(B15='DATOS 1'!$C$30,'DATOS 1'!$B$30,IF(B15='DATOS 1'!$C$31,'DATOS 1'!$B$31,IF(B15='DATOS 1'!$C$32,'DATOS 1'!$B$32,IF(B15='DATOS 1'!$C$33,'DATOS 1'!$B$33,IF(B15='DATOS 1'!$C$34,'DATOS 1'!$B$34,IF(B15='DATOS 1'!$C$35,'DATOS 1'!$B$35," ")))))))))))))))))))))))))))))))))</f>
        <v>DCD. INSTITUCIONAL</v>
      </c>
      <c r="D15" s="89" t="s">
        <v>359</v>
      </c>
      <c r="E15" s="82" t="s">
        <v>382</v>
      </c>
      <c r="F15" s="2" t="s">
        <v>383</v>
      </c>
      <c r="G15" s="79" t="s">
        <v>367</v>
      </c>
      <c r="H15" s="84">
        <v>13036194001001</v>
      </c>
      <c r="I15" s="73">
        <v>42510</v>
      </c>
      <c r="J15" s="73">
        <v>42479</v>
      </c>
      <c r="K15" s="90">
        <v>530502</v>
      </c>
      <c r="L15" s="91" t="s">
        <v>384</v>
      </c>
      <c r="M15" s="2">
        <v>4489.5200000000004</v>
      </c>
      <c r="N15" s="92">
        <v>53874.239999999998</v>
      </c>
      <c r="O15" s="76">
        <f>M15*5</f>
        <v>22447.600000000002</v>
      </c>
      <c r="P15" s="79"/>
      <c r="Q15" s="79" t="s">
        <v>372</v>
      </c>
      <c r="R15" s="79" t="s">
        <v>357</v>
      </c>
    </row>
    <row r="16" spans="1:18" ht="60" x14ac:dyDescent="0.25">
      <c r="A16" s="49">
        <v>10</v>
      </c>
      <c r="B16" s="51" t="s">
        <v>147</v>
      </c>
      <c r="C16" s="50" t="str">
        <f>IF(B16='DATOS 1'!$C$3,'DATOS 1'!$B$3,IF(B16='DATOS 1'!$C$4,'DATOS 1'!$B$4,IF(B16='DATOS 1'!$C$5,'DATOS 1'!$B$5,IF(B16='DATOS 1'!$C$6,'DATOS 1'!$B$6,IF(B16='DATOS 1'!$C$7,'DATOS 1'!$B$7,IF(B16='DATOS 1'!$C$8,'DATOS 1'!$B$8,IF(B16='DATOS 1'!$C$9,'DATOS 1'!$B$9,IF(B16='DATOS 1'!$C$10,'DATOS 1'!$B$10,IF(B16='DATOS 1'!$C$11,'DATOS 1'!$B$11,IF(B16='DATOS 1'!$C$12,'DATOS 1'!$B$12,IF(B16='DATOS 1'!$C$13,'DATOS 1'!$B$13,IF(B16='DATOS 1'!$C$14,'DATOS 1'!$B$14,IF(B16='DATOS 1'!$C$15,'DATOS 1'!$B$15,IF(B16='DATOS 1'!$C$16,'DATOS 1'!$B$16,IF(B16='DATOS 1'!$C$17,'DATOS 1'!$B$17,IF(B16='DATOS 1'!$C$18,'DATOS 1'!$B$18,IF(B16='DATOS 1'!$C$19,'DATOS 1'!$B$19,IF(B16='DATOS 1'!$C$20,'DATOS 1'!$B$20,IF(B16='DATOS 1'!$C$21,'DATOS 1'!$B$21,IF(B16='DATOS 1'!$C$22,'DATOS 1'!$B$22,IF(B16='DATOS 1'!$C$23,'DATOS 1'!$B$23,IF(B16='DATOS 1'!$C$24,'DATOS 1'!$B$24,IF(B16='DATOS 1'!$C$25,'DATOS 1'!$B$25,IF(B16='DATOS 1'!$C$26,'DATOS 1'!$B$26,IF(B16='DATOS 1'!$C$27,'DATOS 1'!$B$27,IF(B16='DATOS 1'!$C$28,'DATOS 1'!$B$28,IF(B16='DATOS 1'!$C$29,'DATOS 1'!$B$29,IF(B16='DATOS 1'!$C$30,'DATOS 1'!$B$30,IF(B16='DATOS 1'!$C$31,'DATOS 1'!$B$31,IF(B16='DATOS 1'!$C$32,'DATOS 1'!$B$32,IF(B16='DATOS 1'!$C$33,'DATOS 1'!$B$33,IF(B16='DATOS 1'!$C$34,'DATOS 1'!$B$34,IF(B16='DATOS 1'!$C$35,'DATOS 1'!$B$35," ")))))))))))))))))))))))))))))))))</f>
        <v>DCD. INSTITUCIONAL</v>
      </c>
      <c r="D16" s="2"/>
      <c r="E16" s="82" t="s">
        <v>382</v>
      </c>
      <c r="F16" s="2" t="s">
        <v>383</v>
      </c>
      <c r="G16" s="79" t="s">
        <v>367</v>
      </c>
      <c r="H16" s="84">
        <v>13036194001001</v>
      </c>
      <c r="I16" s="73">
        <v>42845</v>
      </c>
      <c r="J16" s="73">
        <v>43100</v>
      </c>
      <c r="K16" s="2">
        <v>530502</v>
      </c>
      <c r="L16" s="91" t="s">
        <v>384</v>
      </c>
      <c r="M16" s="2"/>
      <c r="N16" s="77">
        <f>3360*7</f>
        <v>23520</v>
      </c>
      <c r="O16" s="76">
        <f>+N16</f>
        <v>23520</v>
      </c>
      <c r="P16" s="79" t="s">
        <v>372</v>
      </c>
      <c r="Q16" s="79"/>
      <c r="R16" s="79" t="s">
        <v>84</v>
      </c>
    </row>
    <row r="17" spans="16:17" x14ac:dyDescent="0.25">
      <c r="P17" s="85"/>
      <c r="Q17" s="85"/>
    </row>
  </sheetData>
  <autoFilter ref="A6:C13">
    <sortState ref="A8:C25">
      <sortCondition descending="1" ref="B6:B13"/>
    </sortState>
  </autoFilter>
  <mergeCells count="12">
    <mergeCell ref="A1:B1"/>
    <mergeCell ref="A5:A6"/>
    <mergeCell ref="B5:C5"/>
    <mergeCell ref="D5:D6"/>
    <mergeCell ref="E5:E6"/>
    <mergeCell ref="C1:R4"/>
    <mergeCell ref="G5:H5"/>
    <mergeCell ref="I5:J5"/>
    <mergeCell ref="K5:L5"/>
    <mergeCell ref="M5:O5"/>
    <mergeCell ref="P5:R5"/>
    <mergeCell ref="F5:F6"/>
  </mergeCells>
  <dataValidations count="1">
    <dataValidation type="decimal" allowBlank="1" showInputMessage="1" showErrorMessage="1" error="CELDA AUTOMATICA, NO INGRESE NINGUN VALOR" prompt="CELDA AUTOMATICA, NO INGRESE NINGUN VALOR" sqref="C7:C16">
      <formula1>0.00001</formula1>
      <formula2>1000000000000000</formula2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 DIRECCIÓN / EMPRESA">
          <x14:formula1>
            <xm:f>'DATOS 1'!$C$3:$C$35</xm:f>
          </x14:formula1>
          <xm:sqref>B7:B16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CODIGO</vt:lpstr>
      <vt:lpstr>POA 2017 </vt:lpstr>
      <vt:lpstr>1A</vt:lpstr>
      <vt:lpstr>1B</vt:lpstr>
      <vt:lpstr>1C</vt:lpstr>
      <vt:lpstr>1D</vt:lpstr>
      <vt:lpstr>1E</vt:lpstr>
      <vt:lpstr>2A</vt:lpstr>
      <vt:lpstr>2B</vt:lpstr>
      <vt:lpstr>2C</vt:lpstr>
      <vt:lpstr>2D</vt:lpstr>
      <vt:lpstr>DATOS 1</vt:lpstr>
      <vt:lpstr>DATOS 2</vt:lpstr>
      <vt:lpstr>TECNICO</vt:lpstr>
      <vt:lpstr>AMBIENTAL</vt:lpstr>
      <vt:lpstr>'POA 2017 '!Área_de_impresión</vt:lpstr>
      <vt:lpstr>ECONOMICO</vt:lpstr>
      <vt:lpstr>INSTITUCIONAL</vt:lpstr>
      <vt:lpstr>SOCIAL</vt:lpstr>
      <vt:lpstr>TERRITORIAL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  Cedeño Byron Fernando</dc:creator>
  <cp:lastModifiedBy>CRISTHIAN RIVERA</cp:lastModifiedBy>
  <cp:lastPrinted>2017-07-21T16:30:34Z</cp:lastPrinted>
  <dcterms:created xsi:type="dcterms:W3CDTF">2016-08-08T15:35:56Z</dcterms:created>
  <dcterms:modified xsi:type="dcterms:W3CDTF">2017-09-28T20:56:52Z</dcterms:modified>
</cp:coreProperties>
</file>